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4. ZR" sheetId="1" r:id="rId1"/>
  </sheets>
  <definedNames>
    <definedName name="_xlnm.Print_Titles" localSheetId="0">'4. ZR'!$8:$9</definedName>
    <definedName name="_xlnm.Print_Area" localSheetId="0">'4. ZR'!$A$1:$N$500</definedName>
    <definedName name="Z_39FD50E0_9911_4D32_8842_5A58F13D310F_.wvu.Cols" localSheetId="0" hidden="1">'4. ZR'!$C:$J,'4. ZR'!$M:$M,'4. ZR'!#REF!</definedName>
    <definedName name="Z_39FD50E0_9911_4D32_8842_5A58F13D310F_.wvu.PrintTitles" localSheetId="0" hidden="1">'4. ZR'!$8:$9</definedName>
    <definedName name="Z_39FD50E0_9911_4D32_8842_5A58F13D310F_.wvu.Rows" localSheetId="0" hidden="1">'4. ZR'!$343:$343</definedName>
  </definedNames>
  <calcPr fullCalcOnLoad="1"/>
</workbook>
</file>

<file path=xl/sharedStrings.xml><?xml version="1.0" encoding="utf-8"?>
<sst xmlns="http://schemas.openxmlformats.org/spreadsheetml/2006/main" count="523" uniqueCount="329">
  <si>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</si>
  <si>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</si>
  <si>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</si>
  <si>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</si>
  <si>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</si>
  <si>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</si>
  <si>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</si>
  <si>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</si>
  <si>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</si>
  <si>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</si>
  <si>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</si>
  <si>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</si>
  <si>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</si>
  <si>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</si>
  <si>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</si>
  <si>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</si>
  <si>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</si>
  <si>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</si>
  <si>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</si>
  <si>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</si>
  <si>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</si>
  <si>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</si>
  <si>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</si>
  <si>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</si>
  <si>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</si>
  <si>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</si>
  <si>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</si>
  <si>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</si>
  <si>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</si>
  <si>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</si>
  <si>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</si>
  <si>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</si>
  <si>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</si>
  <si>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</si>
  <si>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</si>
  <si>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</si>
  <si>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</si>
  <si>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</si>
  <si>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</si>
  <si>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</si>
  <si>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</si>
  <si>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</si>
  <si>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</si>
  <si>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</si>
  <si>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</si>
  <si>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</si>
  <si>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</si>
  <si>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</si>
  <si>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</si>
  <si>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</si>
  <si>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</si>
  <si>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</si>
  <si>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</si>
  <si>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</si>
  <si>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</si>
  <si>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</si>
  <si>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</si>
  <si>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</si>
  <si>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</si>
  <si>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</si>
  <si>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</si>
  <si>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</si>
  <si>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</si>
  <si>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</si>
  <si>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</si>
  <si>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</si>
  <si>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</si>
  <si>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</si>
  <si>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</si>
  <si>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</si>
  <si>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</si>
  <si>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</si>
  <si>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</si>
  <si>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</si>
  <si>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</si>
  <si>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</si>
  <si>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</si>
  <si>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</si>
  <si>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</si>
  <si>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</si>
  <si>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</si>
  <si>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</si>
  <si>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</si>
  <si>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</si>
  <si>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</si>
  <si>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</si>
  <si>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</si>
  <si>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</si>
  <si>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</si>
  <si>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</si>
  <si>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</si>
  <si>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</si>
  <si>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</si>
  <si>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</si>
  <si>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</si>
  <si>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</si>
  <si>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</si>
  <si>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</si>
  <si>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</si>
  <si>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</si>
  <si>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</si>
  <si>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</si>
  <si>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</si>
  <si>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</si>
  <si>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</si>
  <si>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</si>
  <si>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</si>
  <si>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</si>
  <si>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</si>
  <si>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</si>
  <si>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</si>
  <si>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</si>
  <si>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>silnice II/319 RK-Rokytnice v OH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</si>
  <si>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</si>
  <si>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</si>
  <si>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</si>
  <si>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</si>
  <si>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</si>
  <si>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</si>
  <si>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</si>
  <si>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</si>
  <si>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</si>
  <si>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</si>
  <si>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</si>
  <si>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</si>
  <si>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</si>
  <si>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</si>
  <si>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</si>
  <si>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</si>
  <si>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</si>
  <si>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</si>
  <si>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</si>
  <si>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</si>
  <si>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</si>
  <si>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</si>
  <si>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</si>
  <si>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</si>
  <si>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</si>
  <si>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</si>
  <si>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</si>
  <si>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</si>
  <si>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podpora čtenářství v zákl.školách - SR</t>
  </si>
  <si>
    <t>fin.asistentů pedagoga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</si>
  <si>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</si>
  <si>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</si>
  <si>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</si>
  <si>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</si>
  <si>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</si>
  <si>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</si>
  <si>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</si>
  <si>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</si>
  <si>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</si>
  <si>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</si>
  <si>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</si>
  <si>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</si>
  <si>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</si>
  <si>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</si>
  <si>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</si>
  <si>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</si>
  <si>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</si>
  <si>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</si>
  <si>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</si>
  <si>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</si>
  <si>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</si>
  <si>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</si>
  <si>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</si>
  <si>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</si>
  <si>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</si>
  <si>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</si>
  <si>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</si>
  <si>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</si>
  <si>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</si>
  <si>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</si>
  <si>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</si>
  <si>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</si>
  <si>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</si>
  <si>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</si>
  <si>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</si>
  <si>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</si>
  <si>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</si>
  <si>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</si>
  <si>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</si>
  <si>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</si>
  <si>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</si>
  <si>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</si>
  <si>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</si>
  <si>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</si>
  <si>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</si>
  <si>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</si>
  <si>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</si>
  <si>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</si>
  <si>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</si>
  <si>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</si>
  <si>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</si>
  <si>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</si>
  <si>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</si>
  <si>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</si>
  <si>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</si>
  <si>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</si>
  <si>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</si>
  <si>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</si>
  <si>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</si>
  <si>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</si>
  <si>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</si>
  <si>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</si>
  <si>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</si>
  <si>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</si>
  <si>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</si>
  <si>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</si>
  <si>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</si>
  <si>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</si>
  <si>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</si>
  <si>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</si>
  <si>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prům.zóna Solnice-Kvasiny-ostat.kap.výd.</t>
  </si>
  <si>
    <t>splátky úvěru</t>
  </si>
  <si>
    <t>FM EHP/Norska - CZ-0037 z r.2009- SR</t>
  </si>
  <si>
    <t xml:space="preserve">  z toho: Centrum EP, PO</t>
  </si>
  <si>
    <t xml:space="preserve">  v tom pro odvětví: životní prostředí a zemědělství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</si>
  <si>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</si>
  <si>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</si>
  <si>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</si>
  <si>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</si>
  <si>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</si>
  <si>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</si>
  <si>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</si>
  <si>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</si>
  <si>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</si>
  <si>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 LZZ Služby soc.prevence v KHK - SR </t>
  </si>
  <si>
    <t>investiční transfery PO - Centrum EP</t>
  </si>
  <si>
    <t>projekt Přístavba Muzea války 1866 na Chlumu - RRRS SV</t>
  </si>
  <si>
    <t>NA ROK 2011</t>
  </si>
  <si>
    <t>příjmy z pronájmu majetku - odv.zdravotnictví</t>
  </si>
  <si>
    <t>kap. 49 - Regionální inovační fond KHK</t>
  </si>
  <si>
    <t>posílení plat.úrovně pedag.prac.s VŠ vzděl. - SR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</si>
  <si>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</si>
  <si>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</si>
  <si>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</si>
  <si>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GP - rovné příležitosti žen a mužů na KÚ KHK - SR</t>
  </si>
  <si>
    <t>OP LZZ - vzdělávání v eGON centrech krajů - SR</t>
  </si>
  <si>
    <t>OPVK - cizí jazyky v podm.Společ.evrop.refer.rámce-SR</t>
  </si>
  <si>
    <t>nedaňové příjmy odvětví zdravotnictví</t>
  </si>
  <si>
    <t>OP LZZ - vzdělávání v eGON centrech krajů - SR 2010</t>
  </si>
  <si>
    <t>OP LZZ - zvýš.kvality řízení v úřadech úz.veř.spr.-SR 2010</t>
  </si>
  <si>
    <t>Projekt technické pomoci OPPS ČR-PR 2007-2013 - SR 2010</t>
  </si>
  <si>
    <t>GG OPVK-TP-Vzd.pro konkurenceschopnost-SR r.2010</t>
  </si>
  <si>
    <t>OP VK 5.1. - Technická pomoc - hodnocení projektů 2-SR 2010</t>
  </si>
  <si>
    <t>OP VK 5.1. - Technické zajištění, hodnotitelé,mzdy - SR 2010</t>
  </si>
  <si>
    <t>OP VK 5. 2. - Publicita a informovanost - SR 2010</t>
  </si>
  <si>
    <t>OP VK 5.3. - Podpora tvorby a přípravy projektů - SR 2010</t>
  </si>
  <si>
    <t>GG 1.1.OPVK-Zvyšování kvality ve vzděl.- SR  2010</t>
  </si>
  <si>
    <t>GG 1.1.OPVK-Zvyšování kvality ve vzdělávání - SR r.2010</t>
  </si>
  <si>
    <t>GG 1.2.OPVK-Rovné příl.dětí a ž.se sp.potř.-SR 2010</t>
  </si>
  <si>
    <t>GG 1.2.OPVK-Rovné přílež.dětí a ž.se sp.potř.- SRr.2010</t>
  </si>
  <si>
    <t>GG1.3.OPVK-Další vzděl.prac.škol a zař. - SR r.2010</t>
  </si>
  <si>
    <t>GG1.3.OPVK-Další vzděl.prac.škol a zař. - SR 2010</t>
  </si>
  <si>
    <t>GG VK 3.2 - Podpora nabídky dalšího vzdělávání - SR 2010</t>
  </si>
  <si>
    <t>OPLZZ Vzd.poskyt.a zadavat. soc.sl.KHK IV.- SR r.2010</t>
  </si>
  <si>
    <t xml:space="preserve">OPLZZ Vzd.poskyt.a zadavat. soc.sl.KHK IV.- SR </t>
  </si>
  <si>
    <t>OP LZZ Služby soc.prevence v KHK - SR r. 2010</t>
  </si>
  <si>
    <t>OP LZZ Rozvoj dostup.a kvality soc.sl.v KHK II - SR r.2010</t>
  </si>
  <si>
    <t xml:space="preserve">OP LZZ Rozvoj dostup.a kvality soc.sl.v KHK II - SR </t>
  </si>
  <si>
    <t>OP LZZ Podpora soc.integr.obyv.vylouč.lok.v KHK II - SR r.2010</t>
  </si>
  <si>
    <t>OP LZZ Podpora soc.integr.obyv.vylouč.lok.v KHK II - SR</t>
  </si>
  <si>
    <t>GP - rovné příležitosti žen a mužů na KÚ KHK - SR 2010</t>
  </si>
  <si>
    <t>OP LZZ Podpora soc.integr.obyv.vylouč.lok.v KHK - SR r.2010</t>
  </si>
  <si>
    <t>OPVK-rozvoj kompet.říd.prac.škol v KHK - SR 2010</t>
  </si>
  <si>
    <t>ROP silnice a mosty - dotace z RRRS SV 2010</t>
  </si>
  <si>
    <t>OPVK-zvyš.kval.vzděl.zlepš.říd.procesů ve školách-SR 2010</t>
  </si>
  <si>
    <t>výdaje na sčítání lidu, domů a bytů</t>
  </si>
  <si>
    <t>OPVK-spolupr.VOŠ,VŠ a zaměst.při modern.vzděl.progr.-SR</t>
  </si>
  <si>
    <t xml:space="preserve">GG 1.1.OPVK-Zvyšování kvality ve vzděl.II. - SR </t>
  </si>
  <si>
    <t xml:space="preserve">GG 1.2.OPVK-Rovné příl.dětí a ž.se sp.potř. II. - SR </t>
  </si>
  <si>
    <t xml:space="preserve">GG 1.2.OPVK-Rovné příl.dětí a ž.se sp.potř. - SR </t>
  </si>
  <si>
    <t xml:space="preserve">GG1.3.OPVK-Další vzděl.prac.škol a zař.  II. - SR </t>
  </si>
  <si>
    <t xml:space="preserve">OP VK 5.1. - Technické zajištění, hodnotitelé,mzdy - SR 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</si>
  <si>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</si>
  <si>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</si>
  <si>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</si>
  <si>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>OP - přeshraniční spolupráce - SR</t>
  </si>
  <si>
    <t xml:space="preserve">OP VK 5. 2. - Publicita a informovanost - SR </t>
  </si>
  <si>
    <t xml:space="preserve">OP VK 5.3. - Podpora tvorby a přípravy projektů - SR </t>
  </si>
  <si>
    <t>prům.zóna Solnice-Kvasiny - SR</t>
  </si>
  <si>
    <t>projekty RRRS SV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</si>
  <si>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</si>
  <si>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</si>
  <si>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</si>
  <si>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</si>
  <si>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cestovní ruch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</si>
  <si>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</si>
  <si>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</si>
  <si>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</si>
  <si>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</si>
  <si>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</si>
  <si>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</si>
  <si>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</si>
  <si>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 xml:space="preserve">  odvětví soc.věci</t>
  </si>
  <si>
    <t xml:space="preserve">OP VK 5.1. - Technická pomoc - hodnocení projektů 2-SR </t>
  </si>
  <si>
    <t>neinv.transfery obcím - úč.dotace Městu Týniště n.O.</t>
  </si>
  <si>
    <t>grant. a dílčí progr.a samost.projekty - odv.život.prostř.a zem.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</si>
  <si>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</si>
  <si>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</si>
  <si>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</si>
  <si>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</si>
  <si>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</si>
  <si>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</si>
  <si>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podpora činnosti informačních center - SR</t>
  </si>
  <si>
    <t>LABEL - transfery ze zahraničí</t>
  </si>
  <si>
    <t>OP LZZ - zvýš.kvality řízení v úřadech úz.veř.spr.-SR</t>
  </si>
  <si>
    <t xml:space="preserve">ROP silnice a mosty - vratka dotace RRRS SV </t>
  </si>
  <si>
    <t xml:space="preserve">rezerva </t>
  </si>
  <si>
    <t>dotace prostřednictvím čerpacích účtů - SR</t>
  </si>
  <si>
    <t>Dobrovolnictví na Náchodsku - SR</t>
  </si>
  <si>
    <t xml:space="preserve">OPVK-zvyš.kval.vzděl.zlepš.říd.procesů ve školách-SR </t>
  </si>
  <si>
    <t>česko - polský inovační portál - SR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</si>
  <si>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</si>
  <si>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</si>
  <si>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</si>
  <si>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</si>
  <si>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grant. a dílčí progr.a samost.projekty - odv.cestovní ruch</t>
  </si>
  <si>
    <t>grant. a dílčí progr.a samost.projekty - odv.regionální rozvoj</t>
  </si>
  <si>
    <t>bezpl.výuka českého jazyka pro cizince třetích zemí - SR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</si>
  <si>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</si>
  <si>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</si>
  <si>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</si>
  <si>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>program Zelená úsporám - SR</t>
  </si>
  <si>
    <t>investiční transfery obcím - Chudeřice</t>
  </si>
  <si>
    <t xml:space="preserve">  od krajů</t>
  </si>
  <si>
    <t>podpora rom.žáků SŠ a příprava ped.na inkluz.školu - SR</t>
  </si>
  <si>
    <t>investiční transfery obcím - město Náchod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</si>
</sst>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/>
      <right style="thin"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3" fillId="0" borderId="27" xfId="38" applyNumberFormat="1" applyFont="1" applyBorder="1" applyAlignment="1">
      <alignment vertical="center"/>
    </xf>
    <xf numFmtId="166" fontId="4" fillId="0" borderId="27" xfId="38" applyNumberFormat="1" applyFont="1" applyBorder="1" applyAlignment="1">
      <alignment vertical="center"/>
    </xf>
    <xf numFmtId="166" fontId="2" fillId="0" borderId="27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2" xfId="0" applyBorder="1" applyAlignment="1">
      <alignment/>
    </xf>
    <xf numFmtId="3" fontId="0" fillId="0" borderId="31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6" fillId="0" borderId="31" xfId="0" applyFont="1" applyBorder="1" applyAlignment="1">
      <alignment/>
    </xf>
    <xf numFmtId="3" fontId="6" fillId="0" borderId="31" xfId="0" applyFont="1" applyBorder="1" applyAlignment="1">
      <alignment/>
    </xf>
    <xf numFmtId="3" fontId="0" fillId="0" borderId="32" xfId="0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4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4" fillId="0" borderId="33" xfId="0" applyFont="1" applyBorder="1" applyAlignment="1">
      <alignment/>
    </xf>
    <xf numFmtId="3" fontId="3" fillId="0" borderId="34" xfId="0" applyFont="1" applyBorder="1" applyAlignment="1">
      <alignment vertical="center"/>
    </xf>
    <xf numFmtId="3" fontId="4" fillId="0" borderId="34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1" xfId="0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1" xfId="0" applyFont="1" applyBorder="1" applyAlignment="1">
      <alignment/>
    </xf>
    <xf numFmtId="3" fontId="4" fillId="0" borderId="31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3" fillId="0" borderId="36" xfId="38" applyNumberFormat="1" applyFont="1" applyBorder="1" applyAlignment="1">
      <alignment vertical="center"/>
    </xf>
    <xf numFmtId="166" fontId="4" fillId="0" borderId="36" xfId="38" applyNumberFormat="1" applyFont="1" applyBorder="1" applyAlignment="1">
      <alignment vertical="center"/>
    </xf>
    <xf numFmtId="166" fontId="2" fillId="0" borderId="36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166" fontId="3" fillId="0" borderId="30" xfId="38" applyNumberFormat="1" applyFont="1" applyBorder="1" applyAlignment="1">
      <alignment vertical="center"/>
    </xf>
    <xf numFmtId="166" fontId="3" fillId="0" borderId="38" xfId="38" applyNumberFormat="1" applyFont="1" applyBorder="1" applyAlignment="1">
      <alignment vertical="center"/>
    </xf>
    <xf numFmtId="166" fontId="2" fillId="0" borderId="37" xfId="38" applyNumberFormat="1" applyFont="1" applyBorder="1" applyAlignment="1">
      <alignment vertical="center"/>
    </xf>
    <xf numFmtId="166" fontId="2" fillId="0" borderId="30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166" fontId="4" fillId="0" borderId="39" xfId="38" applyNumberFormat="1" applyFont="1" applyBorder="1" applyAlignment="1">
      <alignment vertical="center"/>
    </xf>
    <xf numFmtId="166" fontId="2" fillId="0" borderId="39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2" fillId="0" borderId="40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4" fillId="0" borderId="0" xfId="0" applyFont="1" applyAlignment="1">
      <alignment/>
    </xf>
    <xf numFmtId="3" fontId="7" fillId="0" borderId="22" xfId="0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6" fontId="8" fillId="0" borderId="30" xfId="38" applyNumberFormat="1" applyFont="1" applyBorder="1" applyAlignment="1">
      <alignment vertical="center"/>
    </xf>
    <xf numFmtId="166" fontId="2" fillId="0" borderId="38" xfId="38" applyNumberFormat="1" applyFont="1" applyBorder="1" applyAlignment="1">
      <alignment vertical="center"/>
    </xf>
    <xf numFmtId="166" fontId="4" fillId="0" borderId="0" xfId="38" applyNumberFormat="1" applyFont="1" applyBorder="1" applyAlignment="1">
      <alignment/>
    </xf>
    <xf numFmtId="166" fontId="4" fillId="0" borderId="42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8" fillId="0" borderId="0" xfId="38" applyNumberFormat="1" applyFont="1" applyBorder="1" applyAlignment="1">
      <alignment vertical="center"/>
    </xf>
    <xf numFmtId="166" fontId="8" fillId="0" borderId="41" xfId="38" applyNumberFormat="1" applyFont="1" applyBorder="1" applyAlignment="1">
      <alignment vertical="center"/>
    </xf>
    <xf numFmtId="166" fontId="4" fillId="0" borderId="43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0" fillId="0" borderId="44" xfId="38" applyNumberFormat="1" applyFont="1" applyBorder="1" applyAlignment="1">
      <alignment/>
    </xf>
    <xf numFmtId="166" fontId="0" fillId="0" borderId="45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166" fontId="6" fillId="0" borderId="13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46" xfId="38" applyNumberFormat="1" applyFont="1" applyBorder="1" applyAlignment="1">
      <alignment vertical="center"/>
    </xf>
    <xf numFmtId="166" fontId="2" fillId="0" borderId="46" xfId="38" applyNumberFormat="1" applyFont="1" applyBorder="1" applyAlignment="1">
      <alignment vertical="center"/>
    </xf>
    <xf numFmtId="166" fontId="3" fillId="0" borderId="13" xfId="38" applyNumberFormat="1" applyFont="1" applyBorder="1" applyAlignment="1">
      <alignment vertical="center"/>
    </xf>
    <xf numFmtId="166" fontId="3" fillId="0" borderId="47" xfId="38" applyNumberFormat="1" applyFont="1" applyBorder="1" applyAlignment="1">
      <alignment vertical="center"/>
    </xf>
    <xf numFmtId="166" fontId="2" fillId="0" borderId="48" xfId="38" applyNumberFormat="1" applyFont="1" applyBorder="1" applyAlignment="1">
      <alignment vertical="center"/>
    </xf>
    <xf numFmtId="3" fontId="0" fillId="0" borderId="0" xfId="0" applyBorder="1" applyAlignment="1">
      <alignment/>
    </xf>
    <xf numFmtId="3" fontId="0" fillId="0" borderId="33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4" fillId="0" borderId="26" xfId="38" applyNumberFormat="1" applyFont="1" applyBorder="1" applyAlignment="1">
      <alignment/>
    </xf>
    <xf numFmtId="166" fontId="6" fillId="0" borderId="26" xfId="38" applyNumberFormat="1" applyFont="1" applyBorder="1" applyAlignment="1">
      <alignment/>
    </xf>
    <xf numFmtId="166" fontId="8" fillId="0" borderId="49" xfId="38" applyNumberFormat="1" applyFont="1" applyBorder="1" applyAlignment="1">
      <alignment vertical="center"/>
    </xf>
    <xf numFmtId="166" fontId="3" fillId="0" borderId="50" xfId="38" applyNumberFormat="1" applyFont="1" applyBorder="1" applyAlignment="1">
      <alignment vertical="center"/>
    </xf>
    <xf numFmtId="166" fontId="2" fillId="0" borderId="50" xfId="38" applyNumberFormat="1" applyFont="1" applyBorder="1" applyAlignment="1">
      <alignment vertical="center"/>
    </xf>
    <xf numFmtId="166" fontId="3" fillId="0" borderId="26" xfId="38" applyNumberFormat="1" applyFont="1" applyBorder="1" applyAlignment="1">
      <alignment vertical="center"/>
    </xf>
    <xf numFmtId="166" fontId="3" fillId="0" borderId="49" xfId="38" applyNumberFormat="1" applyFont="1" applyBorder="1" applyAlignment="1">
      <alignment vertical="center"/>
    </xf>
    <xf numFmtId="3" fontId="45" fillId="0" borderId="0" xfId="0" applyFont="1" applyAlignment="1">
      <alignment/>
    </xf>
    <xf numFmtId="3" fontId="7" fillId="0" borderId="30" xfId="0" applyFont="1" applyBorder="1" applyAlignment="1">
      <alignment/>
    </xf>
    <xf numFmtId="3" fontId="0" fillId="0" borderId="33" xfId="0" applyBorder="1" applyAlignment="1">
      <alignment/>
    </xf>
    <xf numFmtId="166" fontId="0" fillId="0" borderId="24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0" fillId="0" borderId="23" xfId="38" applyNumberFormat="1" applyFont="1" applyBorder="1" applyAlignment="1">
      <alignment/>
    </xf>
    <xf numFmtId="166" fontId="4" fillId="0" borderId="50" xfId="38" applyNumberFormat="1" applyFont="1" applyBorder="1" applyAlignment="1">
      <alignment vertical="center"/>
    </xf>
    <xf numFmtId="166" fontId="3" fillId="0" borderId="25" xfId="38" applyNumberFormat="1" applyFont="1" applyBorder="1" applyAlignment="1">
      <alignment vertical="center"/>
    </xf>
    <xf numFmtId="166" fontId="0" fillId="0" borderId="51" xfId="38" applyNumberFormat="1" applyFont="1" applyBorder="1" applyAlignment="1">
      <alignment/>
    </xf>
    <xf numFmtId="166" fontId="0" fillId="0" borderId="26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5" fontId="4" fillId="0" borderId="25" xfId="38" applyNumberFormat="1" applyFont="1" applyBorder="1" applyAlignment="1">
      <alignment horizontal="center"/>
    </xf>
    <xf numFmtId="165" fontId="4" fillId="0" borderId="49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6" fontId="2" fillId="0" borderId="49" xfId="38" applyNumberFormat="1" applyFont="1" applyBorder="1" applyAlignment="1">
      <alignment vertical="center"/>
    </xf>
    <xf numFmtId="166" fontId="6" fillId="0" borderId="26" xfId="38" applyNumberFormat="1" applyFont="1" applyBorder="1" applyAlignment="1">
      <alignment/>
    </xf>
    <xf numFmtId="166" fontId="4" fillId="0" borderId="43" xfId="38" applyNumberFormat="1" applyFont="1" applyBorder="1" applyAlignment="1">
      <alignment/>
    </xf>
    <xf numFmtId="166" fontId="0" fillId="0" borderId="28" xfId="38" applyNumberFormat="1" applyFont="1" applyFill="1" applyBorder="1" applyAlignment="1">
      <alignment/>
    </xf>
    <xf numFmtId="166" fontId="4" fillId="0" borderId="29" xfId="38" applyNumberFormat="1" applyFont="1" applyBorder="1" applyAlignment="1">
      <alignment/>
    </xf>
    <xf numFmtId="166" fontId="7" fillId="0" borderId="24" xfId="38" applyNumberFormat="1" applyFont="1" applyBorder="1" applyAlignment="1">
      <alignment/>
    </xf>
    <xf numFmtId="166" fontId="7" fillId="0" borderId="12" xfId="38" applyNumberFormat="1" applyFont="1" applyBorder="1" applyAlignment="1">
      <alignment/>
    </xf>
    <xf numFmtId="166" fontId="0" fillId="0" borderId="49" xfId="38" applyNumberFormat="1" applyFont="1" applyBorder="1" applyAlignment="1">
      <alignment/>
    </xf>
    <xf numFmtId="3" fontId="0" fillId="0" borderId="33" xfId="0" applyFont="1" applyBorder="1" applyAlignment="1">
      <alignment/>
    </xf>
    <xf numFmtId="166" fontId="0" fillId="0" borderId="52" xfId="3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5" xfId="0" applyFont="1" applyBorder="1" applyAlignment="1">
      <alignment horizontal="center" vertical="center"/>
    </xf>
    <xf numFmtId="3" fontId="0" fillId="0" borderId="3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1"/>
  <sheetViews>
    <sheetView tabSelected="1" zoomScalePageLayoutView="0" workbookViewId="0" topLeftCell="A1">
      <pane xSplit="1" ySplit="9" topLeftCell="B47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375" sqref="L375"/>
    </sheetView>
  </sheetViews>
  <sheetFormatPr defaultColWidth="9.00390625" defaultRowHeight="12.75"/>
  <cols>
    <col min="1" max="1" width="48.875" style="0" customWidth="1"/>
    <col min="2" max="2" width="15.125" style="0" customWidth="1"/>
    <col min="3" max="3" width="15.125" style="0" hidden="1" customWidth="1"/>
    <col min="4" max="4" width="12.875" style="0" hidden="1" customWidth="1"/>
    <col min="5" max="5" width="14.25390625" style="0" hidden="1" customWidth="1"/>
    <col min="6" max="6" width="12.625" style="0" hidden="1" customWidth="1"/>
    <col min="7" max="7" width="12.75390625" style="0" hidden="1" customWidth="1"/>
    <col min="8" max="8" width="14.125" style="0" hidden="1" customWidth="1"/>
    <col min="9" max="10" width="13.75390625" style="0" hidden="1" customWidth="1"/>
    <col min="11" max="11" width="16.125" style="0" customWidth="1"/>
    <col min="12" max="12" width="14.875" style="0" customWidth="1"/>
    <col min="13" max="13" width="14.25390625" style="0" hidden="1" customWidth="1"/>
    <col min="14" max="14" width="16.375" style="0" customWidth="1"/>
  </cols>
  <sheetData>
    <row r="1" spans="2:14" ht="12.75">
      <c r="B1" s="1"/>
      <c r="C1" s="1"/>
      <c r="D1" s="1"/>
      <c r="E1" s="2"/>
      <c r="H1" s="2"/>
      <c r="K1" s="2"/>
      <c r="N1" s="2" t="s">
        <v>210</v>
      </c>
    </row>
    <row r="2" spans="2:5" ht="9.75" customHeight="1">
      <c r="B2" s="1"/>
      <c r="C2" s="1"/>
      <c r="D2" s="1"/>
      <c r="E2" s="2"/>
    </row>
    <row r="3" spans="1:14" ht="15.7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.75">
      <c r="A4" s="181" t="s">
        <v>230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15">
      <c r="A5" s="182" t="s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1:14" ht="12.75">
      <c r="A6" s="183" t="s">
        <v>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2" ht="18" customHeight="1" thickBot="1">
      <c r="A7" s="3"/>
      <c r="B7" s="4"/>
      <c r="C7" s="4"/>
      <c r="D7" s="4"/>
      <c r="E7" s="4"/>
      <c r="I7" s="156"/>
      <c r="L7" s="119"/>
    </row>
    <row r="8" spans="1:14" ht="12.75">
      <c r="A8" s="184" t="s">
        <v>3</v>
      </c>
      <c r="B8" s="46" t="s">
        <v>4</v>
      </c>
      <c r="C8" s="47" t="s">
        <v>5</v>
      </c>
      <c r="D8" s="47" t="s">
        <v>6</v>
      </c>
      <c r="E8" s="48" t="s">
        <v>7</v>
      </c>
      <c r="F8" s="46" t="s">
        <v>8</v>
      </c>
      <c r="G8" s="47" t="s">
        <v>6</v>
      </c>
      <c r="H8" s="48" t="s">
        <v>7</v>
      </c>
      <c r="I8" s="46" t="s">
        <v>9</v>
      </c>
      <c r="J8" s="47" t="s">
        <v>6</v>
      </c>
      <c r="K8" s="48" t="s">
        <v>7</v>
      </c>
      <c r="L8" s="46" t="s">
        <v>10</v>
      </c>
      <c r="M8" s="47" t="s">
        <v>6</v>
      </c>
      <c r="N8" s="167" t="s">
        <v>7</v>
      </c>
    </row>
    <row r="9" spans="1:16" ht="13.5" thickBot="1">
      <c r="A9" s="185"/>
      <c r="B9" s="99" t="s">
        <v>11</v>
      </c>
      <c r="C9" s="100" t="s">
        <v>12</v>
      </c>
      <c r="D9" s="100" t="s">
        <v>13</v>
      </c>
      <c r="E9" s="101" t="s">
        <v>14</v>
      </c>
      <c r="F9" s="99" t="s">
        <v>12</v>
      </c>
      <c r="G9" s="100" t="s">
        <v>13</v>
      </c>
      <c r="H9" s="101" t="s">
        <v>15</v>
      </c>
      <c r="I9" s="99" t="s">
        <v>12</v>
      </c>
      <c r="J9" s="100" t="s">
        <v>13</v>
      </c>
      <c r="K9" s="101" t="s">
        <v>16</v>
      </c>
      <c r="L9" s="99" t="s">
        <v>12</v>
      </c>
      <c r="M9" s="100" t="s">
        <v>13</v>
      </c>
      <c r="N9" s="168" t="s">
        <v>17</v>
      </c>
      <c r="P9" s="146"/>
    </row>
    <row r="10" spans="1:14" ht="15.75" customHeight="1">
      <c r="A10" s="97" t="s">
        <v>18</v>
      </c>
      <c r="B10" s="67"/>
      <c r="C10" s="5"/>
      <c r="D10" s="5"/>
      <c r="E10" s="98"/>
      <c r="F10" s="67"/>
      <c r="G10" s="5"/>
      <c r="H10" s="98"/>
      <c r="I10" s="67"/>
      <c r="J10" s="5"/>
      <c r="K10" s="98"/>
      <c r="L10" s="67"/>
      <c r="M10" s="5"/>
      <c r="N10" s="169"/>
    </row>
    <row r="11" spans="1:14" ht="12.75">
      <c r="A11" s="70" t="s">
        <v>19</v>
      </c>
      <c r="B11" s="49">
        <v>2900000</v>
      </c>
      <c r="C11" s="6">
        <v>30303.1</v>
      </c>
      <c r="D11" s="6"/>
      <c r="E11" s="50">
        <f>B11+C11+D11</f>
        <v>2930303.1</v>
      </c>
      <c r="F11" s="49"/>
      <c r="G11" s="6"/>
      <c r="H11" s="50">
        <f>E11+F11+G11</f>
        <v>2930303.1</v>
      </c>
      <c r="I11" s="49">
        <v>73500</v>
      </c>
      <c r="J11" s="6"/>
      <c r="K11" s="50">
        <f>H11+I11+J11</f>
        <v>3003803.1</v>
      </c>
      <c r="L11" s="49"/>
      <c r="M11" s="6"/>
      <c r="N11" s="149">
        <f>K11+L11+M11</f>
        <v>3003803.1</v>
      </c>
    </row>
    <row r="12" spans="1:14" ht="12.75">
      <c r="A12" s="71" t="s">
        <v>20</v>
      </c>
      <c r="B12" s="49"/>
      <c r="C12" s="6"/>
      <c r="D12" s="6"/>
      <c r="E12" s="50"/>
      <c r="F12" s="49"/>
      <c r="G12" s="6"/>
      <c r="H12" s="50"/>
      <c r="I12" s="49"/>
      <c r="J12" s="6"/>
      <c r="K12" s="50"/>
      <c r="L12" s="49"/>
      <c r="M12" s="6"/>
      <c r="N12" s="149"/>
    </row>
    <row r="13" spans="1:14" ht="12.75">
      <c r="A13" s="72" t="s">
        <v>21</v>
      </c>
      <c r="B13" s="49"/>
      <c r="C13" s="7">
        <v>30303.1</v>
      </c>
      <c r="D13" s="7"/>
      <c r="E13" s="52">
        <f>B13+C13+D13</f>
        <v>30303.1</v>
      </c>
      <c r="F13" s="51"/>
      <c r="G13" s="6"/>
      <c r="H13" s="52">
        <f>E13+F13+G13</f>
        <v>30303.1</v>
      </c>
      <c r="I13" s="51"/>
      <c r="J13" s="6"/>
      <c r="K13" s="52">
        <f>H13+I13+J13</f>
        <v>30303.1</v>
      </c>
      <c r="L13" s="51"/>
      <c r="M13" s="6"/>
      <c r="N13" s="165">
        <f>K13+L13+M13</f>
        <v>30303.1</v>
      </c>
    </row>
    <row r="14" spans="1:14" ht="12.75">
      <c r="A14" s="70" t="s">
        <v>22</v>
      </c>
      <c r="B14" s="49">
        <f>SUM(B16:B34)</f>
        <v>215959.4</v>
      </c>
      <c r="C14" s="6">
        <f aca="true" t="shared" si="0" ref="C14:N14">SUM(C16:C34)</f>
        <v>-4032.6</v>
      </c>
      <c r="D14" s="6">
        <f t="shared" si="0"/>
        <v>720</v>
      </c>
      <c r="E14" s="50">
        <f t="shared" si="0"/>
        <v>212646.8</v>
      </c>
      <c r="F14" s="49">
        <f t="shared" si="0"/>
        <v>8791.4</v>
      </c>
      <c r="G14" s="6">
        <f t="shared" si="0"/>
        <v>1015.3</v>
      </c>
      <c r="H14" s="50">
        <f t="shared" si="0"/>
        <v>222453.5</v>
      </c>
      <c r="I14" s="49">
        <f t="shared" si="0"/>
        <v>7326.6</v>
      </c>
      <c r="J14" s="6">
        <f t="shared" si="0"/>
        <v>802.9000000000001</v>
      </c>
      <c r="K14" s="50">
        <f t="shared" si="0"/>
        <v>230583</v>
      </c>
      <c r="L14" s="49">
        <f t="shared" si="0"/>
        <v>-482.3</v>
      </c>
      <c r="M14" s="6">
        <f t="shared" si="0"/>
        <v>0</v>
      </c>
      <c r="N14" s="149">
        <f t="shared" si="0"/>
        <v>230100.7</v>
      </c>
    </row>
    <row r="15" spans="1:14" ht="9" customHeight="1">
      <c r="A15" s="71" t="s">
        <v>23</v>
      </c>
      <c r="B15" s="49"/>
      <c r="C15" s="6"/>
      <c r="D15" s="6"/>
      <c r="E15" s="50"/>
      <c r="F15" s="49"/>
      <c r="G15" s="6"/>
      <c r="H15" s="50"/>
      <c r="I15" s="49"/>
      <c r="J15" s="6"/>
      <c r="K15" s="50"/>
      <c r="L15" s="49"/>
      <c r="M15" s="6"/>
      <c r="N15" s="149"/>
    </row>
    <row r="16" spans="1:14" ht="12.75">
      <c r="A16" s="72" t="s">
        <v>24</v>
      </c>
      <c r="B16" s="51">
        <v>4000</v>
      </c>
      <c r="C16" s="7"/>
      <c r="D16" s="7"/>
      <c r="E16" s="52">
        <f>B16+C16+D16</f>
        <v>4000</v>
      </c>
      <c r="F16" s="51">
        <v>86.1</v>
      </c>
      <c r="G16" s="7"/>
      <c r="H16" s="52">
        <f>E16+F16+G16</f>
        <v>4086.1</v>
      </c>
      <c r="I16" s="51">
        <v>49.1</v>
      </c>
      <c r="J16" s="7"/>
      <c r="K16" s="52">
        <f>H16+I16+J16</f>
        <v>4135.2</v>
      </c>
      <c r="L16" s="51">
        <v>13.5</v>
      </c>
      <c r="M16" s="7"/>
      <c r="N16" s="165">
        <f>K16+L16+M16</f>
        <v>4148.7</v>
      </c>
    </row>
    <row r="17" spans="1:14" ht="12.75">
      <c r="A17" s="72" t="s">
        <v>25</v>
      </c>
      <c r="B17" s="51"/>
      <c r="C17" s="7"/>
      <c r="D17" s="7">
        <v>720</v>
      </c>
      <c r="E17" s="52">
        <f aca="true" t="shared" si="1" ref="E17:E33">B17+C17+D17</f>
        <v>720</v>
      </c>
      <c r="F17" s="51"/>
      <c r="G17" s="7"/>
      <c r="H17" s="52">
        <f aca="true" t="shared" si="2" ref="H17:H33">E17+F17+G17</f>
        <v>720</v>
      </c>
      <c r="I17" s="51"/>
      <c r="J17" s="7"/>
      <c r="K17" s="52">
        <f aca="true" t="shared" si="3" ref="K17:K33">H17+I17+J17</f>
        <v>720</v>
      </c>
      <c r="L17" s="51"/>
      <c r="M17" s="7"/>
      <c r="N17" s="165">
        <f aca="true" t="shared" si="4" ref="N17:N33">K17+L17+M17</f>
        <v>720</v>
      </c>
    </row>
    <row r="18" spans="1:14" ht="12.75" hidden="1">
      <c r="A18" s="72" t="s">
        <v>26</v>
      </c>
      <c r="B18" s="51"/>
      <c r="C18" s="7"/>
      <c r="D18" s="7"/>
      <c r="E18" s="52">
        <f t="shared" si="1"/>
        <v>0</v>
      </c>
      <c r="F18" s="51"/>
      <c r="G18" s="7"/>
      <c r="H18" s="52">
        <f t="shared" si="2"/>
        <v>0</v>
      </c>
      <c r="I18" s="51"/>
      <c r="J18" s="7"/>
      <c r="K18" s="52">
        <f t="shared" si="3"/>
        <v>0</v>
      </c>
      <c r="L18" s="51"/>
      <c r="M18" s="7"/>
      <c r="N18" s="165">
        <f t="shared" si="4"/>
        <v>0</v>
      </c>
    </row>
    <row r="19" spans="1:14" ht="12.75" hidden="1">
      <c r="A19" s="72" t="s">
        <v>27</v>
      </c>
      <c r="B19" s="51"/>
      <c r="C19" s="7"/>
      <c r="D19" s="7"/>
      <c r="E19" s="52">
        <f t="shared" si="1"/>
        <v>0</v>
      </c>
      <c r="F19" s="51"/>
      <c r="G19" s="7"/>
      <c r="H19" s="52">
        <f t="shared" si="2"/>
        <v>0</v>
      </c>
      <c r="I19" s="51"/>
      <c r="J19" s="7"/>
      <c r="K19" s="52">
        <f t="shared" si="3"/>
        <v>0</v>
      </c>
      <c r="L19" s="51"/>
      <c r="M19" s="7"/>
      <c r="N19" s="165">
        <f t="shared" si="4"/>
        <v>0</v>
      </c>
    </row>
    <row r="20" spans="1:14" ht="12.75">
      <c r="A20" s="72" t="s">
        <v>28</v>
      </c>
      <c r="B20" s="51">
        <v>45000</v>
      </c>
      <c r="C20" s="7"/>
      <c r="D20" s="7"/>
      <c r="E20" s="52">
        <f t="shared" si="1"/>
        <v>45000</v>
      </c>
      <c r="F20" s="51"/>
      <c r="G20" s="7"/>
      <c r="H20" s="52">
        <f t="shared" si="2"/>
        <v>45000</v>
      </c>
      <c r="I20" s="51"/>
      <c r="J20" s="7"/>
      <c r="K20" s="52">
        <f t="shared" si="3"/>
        <v>45000</v>
      </c>
      <c r="L20" s="51"/>
      <c r="M20" s="7"/>
      <c r="N20" s="165">
        <f t="shared" si="4"/>
        <v>45000</v>
      </c>
    </row>
    <row r="21" spans="1:14" ht="12.75" hidden="1">
      <c r="A21" s="72" t="s">
        <v>29</v>
      </c>
      <c r="B21" s="51"/>
      <c r="C21" s="7"/>
      <c r="D21" s="7"/>
      <c r="E21" s="52">
        <f t="shared" si="1"/>
        <v>0</v>
      </c>
      <c r="F21" s="51"/>
      <c r="G21" s="7"/>
      <c r="H21" s="52">
        <f t="shared" si="2"/>
        <v>0</v>
      </c>
      <c r="I21" s="51"/>
      <c r="J21" s="7"/>
      <c r="K21" s="52">
        <f t="shared" si="3"/>
        <v>0</v>
      </c>
      <c r="L21" s="51"/>
      <c r="M21" s="7"/>
      <c r="N21" s="165">
        <f t="shared" si="4"/>
        <v>0</v>
      </c>
    </row>
    <row r="22" spans="1:14" ht="12.75">
      <c r="A22" s="72" t="s">
        <v>30</v>
      </c>
      <c r="B22" s="51"/>
      <c r="C22" s="7"/>
      <c r="D22" s="7"/>
      <c r="E22" s="52">
        <f t="shared" si="1"/>
        <v>0</v>
      </c>
      <c r="F22" s="51"/>
      <c r="G22" s="7"/>
      <c r="H22" s="52">
        <f t="shared" si="2"/>
        <v>0</v>
      </c>
      <c r="I22" s="51">
        <v>45.7</v>
      </c>
      <c r="J22" s="7"/>
      <c r="K22" s="52">
        <f t="shared" si="3"/>
        <v>45.7</v>
      </c>
      <c r="L22" s="51"/>
      <c r="M22" s="7"/>
      <c r="N22" s="165">
        <f t="shared" si="4"/>
        <v>45.7</v>
      </c>
    </row>
    <row r="23" spans="1:14" ht="12.75">
      <c r="A23" s="73" t="s">
        <v>231</v>
      </c>
      <c r="B23" s="51">
        <v>22000</v>
      </c>
      <c r="C23" s="7"/>
      <c r="D23" s="7"/>
      <c r="E23" s="52">
        <f t="shared" si="1"/>
        <v>22000</v>
      </c>
      <c r="F23" s="51"/>
      <c r="G23" s="7"/>
      <c r="H23" s="52">
        <f t="shared" si="2"/>
        <v>22000</v>
      </c>
      <c r="I23" s="51"/>
      <c r="J23" s="7"/>
      <c r="K23" s="52">
        <f t="shared" si="3"/>
        <v>22000</v>
      </c>
      <c r="L23" s="51">
        <v>-525</v>
      </c>
      <c r="M23" s="7"/>
      <c r="N23" s="165">
        <f t="shared" si="4"/>
        <v>21475</v>
      </c>
    </row>
    <row r="24" spans="1:14" ht="12.75">
      <c r="A24" s="73" t="s">
        <v>284</v>
      </c>
      <c r="B24" s="51">
        <v>54000</v>
      </c>
      <c r="C24" s="7"/>
      <c r="D24" s="7"/>
      <c r="E24" s="52">
        <f t="shared" si="1"/>
        <v>54000</v>
      </c>
      <c r="F24" s="51"/>
      <c r="G24" s="7"/>
      <c r="H24" s="52">
        <f t="shared" si="2"/>
        <v>54000</v>
      </c>
      <c r="I24" s="51"/>
      <c r="J24" s="7"/>
      <c r="K24" s="52">
        <f t="shared" si="3"/>
        <v>54000</v>
      </c>
      <c r="L24" s="51"/>
      <c r="M24" s="7"/>
      <c r="N24" s="165">
        <f t="shared" si="4"/>
        <v>54000</v>
      </c>
    </row>
    <row r="25" spans="1:14" ht="12.75">
      <c r="A25" s="73" t="s">
        <v>29</v>
      </c>
      <c r="B25" s="51"/>
      <c r="C25" s="7"/>
      <c r="D25" s="7"/>
      <c r="E25" s="52">
        <f t="shared" si="1"/>
        <v>0</v>
      </c>
      <c r="F25" s="51"/>
      <c r="G25" s="7">
        <v>463.9</v>
      </c>
      <c r="H25" s="52">
        <f t="shared" si="2"/>
        <v>463.9</v>
      </c>
      <c r="I25" s="51">
        <f>172.5+14.9</f>
        <v>187.4</v>
      </c>
      <c r="J25" s="7"/>
      <c r="K25" s="52">
        <f t="shared" si="3"/>
        <v>651.3</v>
      </c>
      <c r="L25" s="68"/>
      <c r="M25" s="7"/>
      <c r="N25" s="165">
        <f t="shared" si="4"/>
        <v>651.3</v>
      </c>
    </row>
    <row r="26" spans="1:14" ht="12.75">
      <c r="A26" s="73" t="s">
        <v>317</v>
      </c>
      <c r="B26" s="51"/>
      <c r="C26" s="7"/>
      <c r="D26" s="7"/>
      <c r="E26" s="52"/>
      <c r="F26" s="51"/>
      <c r="G26" s="7"/>
      <c r="H26" s="52">
        <f t="shared" si="2"/>
        <v>0</v>
      </c>
      <c r="I26" s="51"/>
      <c r="J26" s="7">
        <v>217.7</v>
      </c>
      <c r="K26" s="52">
        <f t="shared" si="3"/>
        <v>217.7</v>
      </c>
      <c r="L26" s="51"/>
      <c r="M26" s="7"/>
      <c r="N26" s="165">
        <f t="shared" si="4"/>
        <v>217.7</v>
      </c>
    </row>
    <row r="27" spans="1:14" ht="12.75" hidden="1">
      <c r="A27" s="73" t="s">
        <v>285</v>
      </c>
      <c r="B27" s="51"/>
      <c r="C27" s="7"/>
      <c r="D27" s="7"/>
      <c r="E27" s="52">
        <f t="shared" si="1"/>
        <v>0</v>
      </c>
      <c r="F27" s="51"/>
      <c r="G27" s="7"/>
      <c r="H27" s="52">
        <f t="shared" si="2"/>
        <v>0</v>
      </c>
      <c r="I27" s="51"/>
      <c r="J27" s="7"/>
      <c r="K27" s="52">
        <f t="shared" si="3"/>
        <v>0</v>
      </c>
      <c r="L27" s="51"/>
      <c r="M27" s="7"/>
      <c r="N27" s="165">
        <f t="shared" si="4"/>
        <v>0</v>
      </c>
    </row>
    <row r="28" spans="1:14" ht="12.75">
      <c r="A28" s="73" t="s">
        <v>286</v>
      </c>
      <c r="B28" s="51"/>
      <c r="C28" s="7"/>
      <c r="D28" s="7"/>
      <c r="E28" s="52">
        <f t="shared" si="1"/>
        <v>0</v>
      </c>
      <c r="F28" s="51">
        <v>500</v>
      </c>
      <c r="G28" s="7"/>
      <c r="H28" s="52">
        <f t="shared" si="2"/>
        <v>500</v>
      </c>
      <c r="I28" s="51"/>
      <c r="J28" s="7"/>
      <c r="K28" s="52">
        <f t="shared" si="3"/>
        <v>500</v>
      </c>
      <c r="L28" s="51"/>
      <c r="M28" s="7"/>
      <c r="N28" s="165">
        <f t="shared" si="4"/>
        <v>500</v>
      </c>
    </row>
    <row r="29" spans="1:14" ht="12.75">
      <c r="A29" s="73" t="s">
        <v>287</v>
      </c>
      <c r="B29" s="51"/>
      <c r="C29" s="7"/>
      <c r="D29" s="7"/>
      <c r="E29" s="52">
        <f t="shared" si="1"/>
        <v>0</v>
      </c>
      <c r="F29" s="51">
        <v>177.5</v>
      </c>
      <c r="G29" s="7"/>
      <c r="H29" s="52">
        <f t="shared" si="2"/>
        <v>177.5</v>
      </c>
      <c r="I29" s="51"/>
      <c r="J29" s="7"/>
      <c r="K29" s="52">
        <f t="shared" si="3"/>
        <v>177.5</v>
      </c>
      <c r="L29" s="51"/>
      <c r="M29" s="7"/>
      <c r="N29" s="165">
        <f t="shared" si="4"/>
        <v>177.5</v>
      </c>
    </row>
    <row r="30" spans="1:14" ht="12.75">
      <c r="A30" s="73" t="s">
        <v>288</v>
      </c>
      <c r="B30" s="51"/>
      <c r="C30" s="7">
        <v>8.6</v>
      </c>
      <c r="D30" s="7"/>
      <c r="E30" s="52">
        <f t="shared" si="1"/>
        <v>8.6</v>
      </c>
      <c r="F30" s="51"/>
      <c r="G30" s="7"/>
      <c r="H30" s="52">
        <f t="shared" si="2"/>
        <v>8.6</v>
      </c>
      <c r="I30" s="51">
        <v>44.4</v>
      </c>
      <c r="J30" s="7"/>
      <c r="K30" s="52">
        <f t="shared" si="3"/>
        <v>53</v>
      </c>
      <c r="L30" s="51">
        <v>8.2</v>
      </c>
      <c r="M30" s="7"/>
      <c r="N30" s="165">
        <f t="shared" si="4"/>
        <v>61.2</v>
      </c>
    </row>
    <row r="31" spans="1:14" ht="12.75">
      <c r="A31" s="73" t="s">
        <v>240</v>
      </c>
      <c r="B31" s="51"/>
      <c r="C31" s="7"/>
      <c r="D31" s="7"/>
      <c r="E31" s="52">
        <f t="shared" si="1"/>
        <v>0</v>
      </c>
      <c r="F31" s="51">
        <v>7968.8</v>
      </c>
      <c r="G31" s="7"/>
      <c r="H31" s="52">
        <f t="shared" si="2"/>
        <v>7968.8</v>
      </c>
      <c r="I31" s="51"/>
      <c r="J31" s="7"/>
      <c r="K31" s="52">
        <f t="shared" si="3"/>
        <v>7968.8</v>
      </c>
      <c r="L31" s="51"/>
      <c r="M31" s="7"/>
      <c r="N31" s="165">
        <f t="shared" si="4"/>
        <v>7968.8</v>
      </c>
    </row>
    <row r="32" spans="1:14" ht="12.75" hidden="1">
      <c r="A32" s="73" t="s">
        <v>289</v>
      </c>
      <c r="B32" s="51"/>
      <c r="C32" s="7"/>
      <c r="D32" s="7"/>
      <c r="E32" s="52">
        <f t="shared" si="1"/>
        <v>0</v>
      </c>
      <c r="F32" s="51"/>
      <c r="G32" s="7"/>
      <c r="H32" s="52">
        <f t="shared" si="2"/>
        <v>0</v>
      </c>
      <c r="I32" s="51"/>
      <c r="J32" s="7"/>
      <c r="K32" s="52">
        <f t="shared" si="3"/>
        <v>0</v>
      </c>
      <c r="L32" s="51"/>
      <c r="M32" s="7"/>
      <c r="N32" s="165">
        <f t="shared" si="4"/>
        <v>0</v>
      </c>
    </row>
    <row r="33" spans="1:14" ht="12.75">
      <c r="A33" s="73" t="s">
        <v>290</v>
      </c>
      <c r="B33" s="51"/>
      <c r="C33" s="7"/>
      <c r="D33" s="7"/>
      <c r="E33" s="52">
        <f t="shared" si="1"/>
        <v>0</v>
      </c>
      <c r="F33" s="51">
        <v>59</v>
      </c>
      <c r="G33" s="7"/>
      <c r="H33" s="52">
        <f t="shared" si="2"/>
        <v>59</v>
      </c>
      <c r="I33" s="51"/>
      <c r="J33" s="7"/>
      <c r="K33" s="52">
        <f t="shared" si="3"/>
        <v>59</v>
      </c>
      <c r="L33" s="51"/>
      <c r="M33" s="7"/>
      <c r="N33" s="165">
        <f t="shared" si="4"/>
        <v>59</v>
      </c>
    </row>
    <row r="34" spans="1:14" ht="12.75">
      <c r="A34" s="72" t="s">
        <v>31</v>
      </c>
      <c r="B34" s="51">
        <f>SUM(B35:B39)</f>
        <v>90959.4</v>
      </c>
      <c r="C34" s="7">
        <f aca="true" t="shared" si="5" ref="C34:N34">SUM(C35:C39)</f>
        <v>-4041.2</v>
      </c>
      <c r="D34" s="7">
        <f t="shared" si="5"/>
        <v>0</v>
      </c>
      <c r="E34" s="52">
        <f t="shared" si="5"/>
        <v>86918.2</v>
      </c>
      <c r="F34" s="51">
        <f t="shared" si="5"/>
        <v>0</v>
      </c>
      <c r="G34" s="7">
        <f t="shared" si="5"/>
        <v>551.4</v>
      </c>
      <c r="H34" s="52">
        <f t="shared" si="5"/>
        <v>87469.6</v>
      </c>
      <c r="I34" s="51">
        <f t="shared" si="5"/>
        <v>7000</v>
      </c>
      <c r="J34" s="7">
        <f t="shared" si="5"/>
        <v>585.2</v>
      </c>
      <c r="K34" s="52">
        <f t="shared" si="5"/>
        <v>95054.8</v>
      </c>
      <c r="L34" s="51">
        <f t="shared" si="5"/>
        <v>21</v>
      </c>
      <c r="M34" s="7">
        <f t="shared" si="5"/>
        <v>0</v>
      </c>
      <c r="N34" s="165">
        <f t="shared" si="5"/>
        <v>95075.8</v>
      </c>
    </row>
    <row r="35" spans="1:14" ht="12.75">
      <c r="A35" s="72" t="s">
        <v>32</v>
      </c>
      <c r="B35" s="51">
        <v>26718</v>
      </c>
      <c r="C35" s="7"/>
      <c r="D35" s="7"/>
      <c r="E35" s="52">
        <f>B35+C35+D35</f>
        <v>26718</v>
      </c>
      <c r="F35" s="51"/>
      <c r="G35" s="7">
        <v>551.4</v>
      </c>
      <c r="H35" s="52">
        <f>E35+F35+G35</f>
        <v>27269.4</v>
      </c>
      <c r="I35" s="51"/>
      <c r="J35" s="7">
        <v>585.2</v>
      </c>
      <c r="K35" s="52">
        <f>H35+I35+J35</f>
        <v>27854.600000000002</v>
      </c>
      <c r="L35" s="51">
        <v>160</v>
      </c>
      <c r="M35" s="7"/>
      <c r="N35" s="165">
        <f>K35+L35+M35</f>
        <v>28014.600000000002</v>
      </c>
    </row>
    <row r="36" spans="1:14" ht="12.75">
      <c r="A36" s="73" t="s">
        <v>291</v>
      </c>
      <c r="B36" s="51">
        <v>7293.4</v>
      </c>
      <c r="C36" s="7"/>
      <c r="D36" s="7"/>
      <c r="E36" s="52">
        <f>B36+C36+D36</f>
        <v>7293.4</v>
      </c>
      <c r="F36" s="51"/>
      <c r="G36" s="7"/>
      <c r="H36" s="52">
        <f>E36+F36+G36</f>
        <v>7293.4</v>
      </c>
      <c r="I36" s="51">
        <v>7000</v>
      </c>
      <c r="J36" s="7"/>
      <c r="K36" s="52">
        <f>H36+I36+J36</f>
        <v>14293.4</v>
      </c>
      <c r="L36" s="51"/>
      <c r="M36" s="7"/>
      <c r="N36" s="165">
        <f>K36+L36+M36</f>
        <v>14293.4</v>
      </c>
    </row>
    <row r="37" spans="1:14" ht="12.75">
      <c r="A37" s="72" t="s">
        <v>33</v>
      </c>
      <c r="B37" s="51">
        <v>21621</v>
      </c>
      <c r="C37" s="7">
        <v>-4041.2</v>
      </c>
      <c r="D37" s="7"/>
      <c r="E37" s="52">
        <f>B37+C37+D37</f>
        <v>17579.8</v>
      </c>
      <c r="F37" s="51"/>
      <c r="G37" s="7"/>
      <c r="H37" s="52">
        <f>E37+F37+G37</f>
        <v>17579.8</v>
      </c>
      <c r="I37" s="51"/>
      <c r="J37" s="7"/>
      <c r="K37" s="52">
        <f>H37+I37+J37</f>
        <v>17579.8</v>
      </c>
      <c r="L37" s="51"/>
      <c r="M37" s="7"/>
      <c r="N37" s="165">
        <f>K37+L37+M37</f>
        <v>17579.8</v>
      </c>
    </row>
    <row r="38" spans="1:14" ht="12.75">
      <c r="A38" s="73" t="s">
        <v>292</v>
      </c>
      <c r="B38" s="51">
        <v>8154</v>
      </c>
      <c r="C38" s="7"/>
      <c r="D38" s="7"/>
      <c r="E38" s="52">
        <f>B38+C38+D38</f>
        <v>8154</v>
      </c>
      <c r="F38" s="51"/>
      <c r="G38" s="7"/>
      <c r="H38" s="52">
        <f>E38+F38+G38</f>
        <v>8154</v>
      </c>
      <c r="I38" s="51"/>
      <c r="J38" s="7"/>
      <c r="K38" s="52">
        <f>H38+I38+J38</f>
        <v>8154</v>
      </c>
      <c r="L38" s="51"/>
      <c r="M38" s="7"/>
      <c r="N38" s="165">
        <f>K38+L38+M38</f>
        <v>8154</v>
      </c>
    </row>
    <row r="39" spans="1:14" ht="12.75">
      <c r="A39" s="73" t="s">
        <v>293</v>
      </c>
      <c r="B39" s="51">
        <v>27173</v>
      </c>
      <c r="C39" s="7"/>
      <c r="D39" s="7"/>
      <c r="E39" s="52">
        <f>B39+C39+D39</f>
        <v>27173</v>
      </c>
      <c r="F39" s="51"/>
      <c r="G39" s="7"/>
      <c r="H39" s="52">
        <f>E39+F39+G39</f>
        <v>27173</v>
      </c>
      <c r="I39" s="51"/>
      <c r="J39" s="7"/>
      <c r="K39" s="52">
        <f>H39+I39+J39</f>
        <v>27173</v>
      </c>
      <c r="L39" s="51">
        <v>-139</v>
      </c>
      <c r="M39" s="7"/>
      <c r="N39" s="165">
        <f>K39+L39+M39</f>
        <v>27034</v>
      </c>
    </row>
    <row r="40" spans="1:14" ht="12.75">
      <c r="A40" s="74" t="s">
        <v>34</v>
      </c>
      <c r="B40" s="53">
        <f>SUM(B42:B45)</f>
        <v>18706.6</v>
      </c>
      <c r="C40" s="8">
        <f aca="true" t="shared" si="6" ref="C40:N40">SUM(C42:C45)</f>
        <v>0</v>
      </c>
      <c r="D40" s="8">
        <f t="shared" si="6"/>
        <v>0</v>
      </c>
      <c r="E40" s="54">
        <f t="shared" si="6"/>
        <v>18706.6</v>
      </c>
      <c r="F40" s="53">
        <f t="shared" si="6"/>
        <v>0</v>
      </c>
      <c r="G40" s="8">
        <f t="shared" si="6"/>
        <v>0</v>
      </c>
      <c r="H40" s="54">
        <f t="shared" si="6"/>
        <v>18706.6</v>
      </c>
      <c r="I40" s="53">
        <f t="shared" si="6"/>
        <v>0</v>
      </c>
      <c r="J40" s="8">
        <f t="shared" si="6"/>
        <v>1590</v>
      </c>
      <c r="K40" s="54">
        <f t="shared" si="6"/>
        <v>20296.6</v>
      </c>
      <c r="L40" s="53">
        <f t="shared" si="6"/>
        <v>0</v>
      </c>
      <c r="M40" s="8">
        <f t="shared" si="6"/>
        <v>0</v>
      </c>
      <c r="N40" s="66">
        <f t="shared" si="6"/>
        <v>20296.6</v>
      </c>
    </row>
    <row r="41" spans="1:14" ht="9" customHeight="1">
      <c r="A41" s="71" t="s">
        <v>23</v>
      </c>
      <c r="B41" s="51"/>
      <c r="C41" s="7"/>
      <c r="D41" s="7"/>
      <c r="E41" s="52"/>
      <c r="F41" s="51"/>
      <c r="G41" s="7"/>
      <c r="H41" s="52"/>
      <c r="I41" s="51"/>
      <c r="J41" s="7"/>
      <c r="K41" s="52"/>
      <c r="L41" s="51"/>
      <c r="M41" s="7"/>
      <c r="N41" s="165"/>
    </row>
    <row r="42" spans="1:14" ht="12.75">
      <c r="A42" s="72" t="s">
        <v>35</v>
      </c>
      <c r="B42" s="51"/>
      <c r="C42" s="7"/>
      <c r="D42" s="7"/>
      <c r="E42" s="52">
        <f>B42+C42+D42</f>
        <v>0</v>
      </c>
      <c r="F42" s="51"/>
      <c r="G42" s="7"/>
      <c r="H42" s="52">
        <f>E42+F42+G42</f>
        <v>0</v>
      </c>
      <c r="I42" s="51"/>
      <c r="J42" s="7">
        <v>1590</v>
      </c>
      <c r="K42" s="52">
        <f>H42+I42+J42</f>
        <v>1590</v>
      </c>
      <c r="L42" s="51"/>
      <c r="M42" s="7"/>
      <c r="N42" s="165">
        <f>K42+L42+M42</f>
        <v>1590</v>
      </c>
    </row>
    <row r="43" spans="1:14" ht="12.75">
      <c r="A43" s="73" t="s">
        <v>294</v>
      </c>
      <c r="B43" s="51">
        <v>18706.6</v>
      </c>
      <c r="C43" s="7"/>
      <c r="D43" s="7"/>
      <c r="E43" s="52">
        <f>B43+C43+D43</f>
        <v>18706.6</v>
      </c>
      <c r="F43" s="51"/>
      <c r="G43" s="7"/>
      <c r="H43" s="52">
        <f>E43+F43+G43</f>
        <v>18706.6</v>
      </c>
      <c r="I43" s="68"/>
      <c r="J43" s="7"/>
      <c r="K43" s="52">
        <f>H43+I43+J43</f>
        <v>18706.6</v>
      </c>
      <c r="L43" s="68"/>
      <c r="M43" s="7"/>
      <c r="N43" s="165">
        <f>K43+L43+M43</f>
        <v>18706.6</v>
      </c>
    </row>
    <row r="44" spans="1:14" ht="12.75" hidden="1">
      <c r="A44" s="73" t="s">
        <v>295</v>
      </c>
      <c r="B44" s="51"/>
      <c r="C44" s="7"/>
      <c r="D44" s="7"/>
      <c r="E44" s="52">
        <f>B44+C44+D44</f>
        <v>0</v>
      </c>
      <c r="F44" s="51"/>
      <c r="G44" s="7"/>
      <c r="H44" s="52">
        <f>E44+F44+G44</f>
        <v>0</v>
      </c>
      <c r="I44" s="68"/>
      <c r="J44" s="7"/>
      <c r="K44" s="52">
        <f>H44+I44+J44</f>
        <v>0</v>
      </c>
      <c r="L44" s="68"/>
      <c r="M44" s="7"/>
      <c r="N44" s="165">
        <f>K44+L44+M44</f>
        <v>0</v>
      </c>
    </row>
    <row r="45" spans="1:14" ht="12.75" hidden="1">
      <c r="A45" s="72" t="s">
        <v>36</v>
      </c>
      <c r="B45" s="51"/>
      <c r="C45" s="7"/>
      <c r="D45" s="7"/>
      <c r="E45" s="52">
        <f>B45+C45+D45</f>
        <v>0</v>
      </c>
      <c r="F45" s="51"/>
      <c r="G45" s="7"/>
      <c r="H45" s="52">
        <f>E45+F45+G45</f>
        <v>0</v>
      </c>
      <c r="I45" s="51"/>
      <c r="J45" s="7"/>
      <c r="K45" s="52">
        <f>H45+I45+J45</f>
        <v>0</v>
      </c>
      <c r="L45" s="51"/>
      <c r="M45" s="7"/>
      <c r="N45" s="165">
        <f>K45+L45+M45</f>
        <v>0</v>
      </c>
    </row>
    <row r="46" spans="1:14" ht="12.75">
      <c r="A46" s="70" t="s">
        <v>37</v>
      </c>
      <c r="B46" s="49">
        <f>SUM(B48:B64)</f>
        <v>74800</v>
      </c>
      <c r="C46" s="6">
        <f aca="true" t="shared" si="7" ref="C46:M46">SUM(C48:C63)</f>
        <v>4257064.6</v>
      </c>
      <c r="D46" s="6">
        <f t="shared" si="7"/>
        <v>0</v>
      </c>
      <c r="E46" s="50">
        <f t="shared" si="7"/>
        <v>4331864.6</v>
      </c>
      <c r="F46" s="49">
        <f t="shared" si="7"/>
        <v>507046.80000000005</v>
      </c>
      <c r="G46" s="6">
        <f t="shared" si="7"/>
        <v>0</v>
      </c>
      <c r="H46" s="50">
        <f t="shared" si="7"/>
        <v>4838911.399999999</v>
      </c>
      <c r="I46" s="49">
        <f t="shared" si="7"/>
        <v>203330.90000000002</v>
      </c>
      <c r="J46" s="6">
        <f t="shared" si="7"/>
        <v>50</v>
      </c>
      <c r="K46" s="50">
        <f>SUM(K48:K64)</f>
        <v>5042292.3</v>
      </c>
      <c r="L46" s="49">
        <f>SUM(L48:L64)</f>
        <v>154376.50000000006</v>
      </c>
      <c r="M46" s="6">
        <f t="shared" si="7"/>
        <v>0</v>
      </c>
      <c r="N46" s="149">
        <f>SUM(N48:N64)</f>
        <v>5196668.799999998</v>
      </c>
    </row>
    <row r="47" spans="1:14" ht="10.5" customHeight="1">
      <c r="A47" s="75" t="s">
        <v>38</v>
      </c>
      <c r="B47" s="51"/>
      <c r="C47" s="7"/>
      <c r="D47" s="7"/>
      <c r="E47" s="52"/>
      <c r="F47" s="51"/>
      <c r="G47" s="7"/>
      <c r="H47" s="52"/>
      <c r="I47" s="51"/>
      <c r="J47" s="7"/>
      <c r="K47" s="52"/>
      <c r="L47" s="51"/>
      <c r="M47" s="7"/>
      <c r="N47" s="165"/>
    </row>
    <row r="48" spans="1:14" ht="12.75">
      <c r="A48" s="73" t="s">
        <v>39</v>
      </c>
      <c r="B48" s="51">
        <v>74650</v>
      </c>
      <c r="C48" s="7"/>
      <c r="D48" s="7"/>
      <c r="E48" s="52">
        <f>B48+C48+D48</f>
        <v>74650</v>
      </c>
      <c r="F48" s="51"/>
      <c r="G48" s="7"/>
      <c r="H48" s="52">
        <f>E48+F48+G48</f>
        <v>74650</v>
      </c>
      <c r="I48" s="51"/>
      <c r="J48" s="7"/>
      <c r="K48" s="52">
        <f>H48+I48+J48</f>
        <v>74650</v>
      </c>
      <c r="L48" s="51"/>
      <c r="M48" s="7"/>
      <c r="N48" s="165">
        <f>K48+L48+M48</f>
        <v>74650</v>
      </c>
    </row>
    <row r="49" spans="1:14" ht="12.75">
      <c r="A49" s="73" t="s">
        <v>40</v>
      </c>
      <c r="B49" s="51"/>
      <c r="C49" s="7">
        <f>30+57+16.6</f>
        <v>103.6</v>
      </c>
      <c r="D49" s="7"/>
      <c r="E49" s="52">
        <f aca="true" t="shared" si="8" ref="E49:E63">B49+C49+D49</f>
        <v>103.6</v>
      </c>
      <c r="F49" s="51">
        <f>156.7+224.5+30+120.9+163.9+23.1</f>
        <v>719.1</v>
      </c>
      <c r="G49" s="7"/>
      <c r="H49" s="52">
        <f aca="true" t="shared" si="9" ref="H49:H63">E49+F49+G49</f>
        <v>822.7</v>
      </c>
      <c r="I49" s="51">
        <f>96.4+205+98.2+18.7+134.2+204</f>
        <v>756.5</v>
      </c>
      <c r="J49" s="7"/>
      <c r="K49" s="52">
        <f aca="true" t="shared" si="10" ref="K49:K64">H49+I49+J49</f>
        <v>1579.2</v>
      </c>
      <c r="L49" s="51">
        <f>30+121.1</f>
        <v>151.1</v>
      </c>
      <c r="M49" s="7"/>
      <c r="N49" s="165">
        <f aca="true" t="shared" si="11" ref="N49:N64">K49+L49+M49</f>
        <v>1730.3</v>
      </c>
    </row>
    <row r="50" spans="1:14" ht="12.75">
      <c r="A50" s="73" t="s">
        <v>41</v>
      </c>
      <c r="B50" s="51"/>
      <c r="C50" s="7">
        <f>105000+4061911+54440+303.8+551.4+5819.8+3618.8+11340.8+5223.1+1373+370.9+473</f>
        <v>4250425.6</v>
      </c>
      <c r="D50" s="7"/>
      <c r="E50" s="52">
        <f t="shared" si="8"/>
        <v>4250425.6</v>
      </c>
      <c r="F50" s="51">
        <f>3660.4+1283.9+37546+49380+14818.3+6578+7497.1+375.2+445+602.2+300.3+31084.5+12101.3+15791.6+3574+2470.7+1363.4+1663.7+70+4471+79.9+12.3+1507.2+303.7+301.2+662</f>
        <v>197942.90000000005</v>
      </c>
      <c r="G50" s="7"/>
      <c r="H50" s="52">
        <f t="shared" si="9"/>
        <v>4448368.5</v>
      </c>
      <c r="I50" s="51">
        <f>-236+685.3+663+223.6+51940+206+2383.1+1913+50+320+365.4+669.5+14038.7+4346.2+4889.9+297.7+321.5+3091.8+34049.9+8.4+304.6+5369+4681+6488.9+15557+5862</f>
        <v>158489.5</v>
      </c>
      <c r="J50" s="7"/>
      <c r="K50" s="52">
        <f t="shared" si="10"/>
        <v>4606858</v>
      </c>
      <c r="L50" s="51">
        <f>-79.8+9779+95.1+617.4+1603.9+5948.2+2099.8+275+986+1275.4+633.9+286.6+314.2+24231.1+10680.9+433+45029+9447.3+5521.6+100+200.5</f>
        <v>119478.10000000002</v>
      </c>
      <c r="M50" s="7"/>
      <c r="N50" s="165">
        <f t="shared" si="11"/>
        <v>4726336.1</v>
      </c>
    </row>
    <row r="51" spans="1:14" ht="12.75">
      <c r="A51" s="73" t="s">
        <v>42</v>
      </c>
      <c r="B51" s="51"/>
      <c r="C51" s="7">
        <f>506.6+616.1</f>
        <v>1122.7</v>
      </c>
      <c r="D51" s="7"/>
      <c r="E51" s="52">
        <f t="shared" si="8"/>
        <v>1122.7</v>
      </c>
      <c r="F51" s="51">
        <f>533.4+24756.8+1868.2+1699.7+3150+537.1+550.8+15780.1</f>
        <v>48876.1</v>
      </c>
      <c r="G51" s="7"/>
      <c r="H51" s="52">
        <f t="shared" si="9"/>
        <v>49998.799999999996</v>
      </c>
      <c r="I51" s="51">
        <f>475.7+3619+1781.3+567.8+539.4+2939.4+22879+579</f>
        <v>33380.6</v>
      </c>
      <c r="J51" s="7"/>
      <c r="K51" s="52">
        <f t="shared" si="10"/>
        <v>83379.4</v>
      </c>
      <c r="L51" s="51">
        <f>2049.1+241.9+625.8+2149.1+2515+440.3+23091.3+507.4</f>
        <v>31619.9</v>
      </c>
      <c r="M51" s="7"/>
      <c r="N51" s="165">
        <f t="shared" si="11"/>
        <v>114999.29999999999</v>
      </c>
    </row>
    <row r="52" spans="1:14" ht="12.75">
      <c r="A52" s="73" t="s">
        <v>43</v>
      </c>
      <c r="B52" s="51"/>
      <c r="C52" s="7"/>
      <c r="D52" s="7"/>
      <c r="E52" s="52">
        <f t="shared" si="8"/>
        <v>0</v>
      </c>
      <c r="F52" s="51">
        <f>11.8+18.3</f>
        <v>30.1</v>
      </c>
      <c r="G52" s="7"/>
      <c r="H52" s="52">
        <f t="shared" si="9"/>
        <v>30.1</v>
      </c>
      <c r="I52" s="51">
        <f>32</f>
        <v>32</v>
      </c>
      <c r="J52" s="7"/>
      <c r="K52" s="52">
        <f t="shared" si="10"/>
        <v>62.1</v>
      </c>
      <c r="L52" s="51">
        <v>9.2</v>
      </c>
      <c r="M52" s="7"/>
      <c r="N52" s="165">
        <f t="shared" si="11"/>
        <v>71.3</v>
      </c>
    </row>
    <row r="53" spans="1:14" ht="12.75">
      <c r="A53" s="73" t="s">
        <v>44</v>
      </c>
      <c r="B53" s="51"/>
      <c r="C53" s="7"/>
      <c r="D53" s="7"/>
      <c r="E53" s="52">
        <f t="shared" si="8"/>
        <v>0</v>
      </c>
      <c r="F53" s="51">
        <v>35</v>
      </c>
      <c r="G53" s="7"/>
      <c r="H53" s="52">
        <f t="shared" si="9"/>
        <v>35</v>
      </c>
      <c r="I53" s="51">
        <f>19+166+415</f>
        <v>600</v>
      </c>
      <c r="J53" s="7"/>
      <c r="K53" s="52">
        <f t="shared" si="10"/>
        <v>635</v>
      </c>
      <c r="L53" s="51">
        <v>30</v>
      </c>
      <c r="M53" s="7"/>
      <c r="N53" s="165">
        <f t="shared" si="11"/>
        <v>665</v>
      </c>
    </row>
    <row r="54" spans="1:14" ht="12.75">
      <c r="A54" s="73" t="s">
        <v>45</v>
      </c>
      <c r="B54" s="51"/>
      <c r="C54" s="7"/>
      <c r="D54" s="7"/>
      <c r="E54" s="52">
        <f t="shared" si="8"/>
        <v>0</v>
      </c>
      <c r="F54" s="51"/>
      <c r="G54" s="7"/>
      <c r="H54" s="52">
        <f t="shared" si="9"/>
        <v>0</v>
      </c>
      <c r="I54" s="51">
        <v>24</v>
      </c>
      <c r="J54" s="7"/>
      <c r="K54" s="52">
        <f t="shared" si="10"/>
        <v>24</v>
      </c>
      <c r="L54" s="51"/>
      <c r="M54" s="7"/>
      <c r="N54" s="165">
        <f t="shared" si="11"/>
        <v>24</v>
      </c>
    </row>
    <row r="55" spans="1:14" ht="12.75">
      <c r="A55" s="73" t="s">
        <v>46</v>
      </c>
      <c r="B55" s="51"/>
      <c r="C55" s="7">
        <f>175.7+5237</f>
        <v>5412.7</v>
      </c>
      <c r="D55" s="7"/>
      <c r="E55" s="52">
        <f t="shared" si="8"/>
        <v>5412.7</v>
      </c>
      <c r="F55" s="51">
        <f>137.5+1058</f>
        <v>1195.5</v>
      </c>
      <c r="G55" s="7"/>
      <c r="H55" s="52">
        <f t="shared" si="9"/>
        <v>6608.2</v>
      </c>
      <c r="I55" s="51">
        <v>2223.9</v>
      </c>
      <c r="J55" s="7"/>
      <c r="K55" s="52">
        <f t="shared" si="10"/>
        <v>8832.1</v>
      </c>
      <c r="L55" s="51">
        <v>597</v>
      </c>
      <c r="M55" s="7"/>
      <c r="N55" s="165">
        <f t="shared" si="11"/>
        <v>9429.1</v>
      </c>
    </row>
    <row r="56" spans="1:14" ht="12.75">
      <c r="A56" s="73" t="s">
        <v>225</v>
      </c>
      <c r="B56" s="51"/>
      <c r="C56" s="7"/>
      <c r="D56" s="7"/>
      <c r="E56" s="52">
        <f t="shared" si="8"/>
        <v>0</v>
      </c>
      <c r="F56" s="51">
        <v>254602.6</v>
      </c>
      <c r="G56" s="7"/>
      <c r="H56" s="52">
        <f t="shared" si="9"/>
        <v>254602.6</v>
      </c>
      <c r="I56" s="51"/>
      <c r="J56" s="7"/>
      <c r="K56" s="52">
        <f t="shared" si="10"/>
        <v>254602.6</v>
      </c>
      <c r="L56" s="51"/>
      <c r="M56" s="7"/>
      <c r="N56" s="165">
        <f t="shared" si="11"/>
        <v>254602.6</v>
      </c>
    </row>
    <row r="57" spans="1:14" ht="12.75">
      <c r="A57" s="73" t="s">
        <v>47</v>
      </c>
      <c r="B57" s="51"/>
      <c r="C57" s="7"/>
      <c r="D57" s="7"/>
      <c r="E57" s="52">
        <f t="shared" si="8"/>
        <v>0</v>
      </c>
      <c r="F57" s="51">
        <f>198.3+310.9</f>
        <v>509.2</v>
      </c>
      <c r="G57" s="7"/>
      <c r="H57" s="52">
        <f t="shared" si="9"/>
        <v>509.2</v>
      </c>
      <c r="I57" s="51">
        <f>17.8+1633.3</f>
        <v>1651.1</v>
      </c>
      <c r="J57" s="7"/>
      <c r="K57" s="52">
        <f t="shared" si="10"/>
        <v>2160.2999999999997</v>
      </c>
      <c r="L57" s="51">
        <v>156.5</v>
      </c>
      <c r="M57" s="7"/>
      <c r="N57" s="165">
        <f t="shared" si="11"/>
        <v>2316.7999999999997</v>
      </c>
    </row>
    <row r="58" spans="1:14" ht="12.75">
      <c r="A58" s="73" t="s">
        <v>48</v>
      </c>
      <c r="B58" s="51"/>
      <c r="C58" s="7"/>
      <c r="D58" s="7"/>
      <c r="E58" s="52">
        <f t="shared" si="8"/>
        <v>0</v>
      </c>
      <c r="F58" s="51"/>
      <c r="G58" s="7"/>
      <c r="H58" s="52">
        <f t="shared" si="9"/>
        <v>0</v>
      </c>
      <c r="I58" s="68">
        <v>250</v>
      </c>
      <c r="J58" s="7"/>
      <c r="K58" s="52">
        <f t="shared" si="10"/>
        <v>250</v>
      </c>
      <c r="L58" s="51"/>
      <c r="M58" s="7"/>
      <c r="N58" s="165">
        <f t="shared" si="11"/>
        <v>250</v>
      </c>
    </row>
    <row r="59" spans="1:14" ht="12.75" hidden="1">
      <c r="A59" s="73" t="s">
        <v>49</v>
      </c>
      <c r="B59" s="51"/>
      <c r="C59" s="7"/>
      <c r="D59" s="7"/>
      <c r="E59" s="52">
        <f t="shared" si="8"/>
        <v>0</v>
      </c>
      <c r="F59" s="51"/>
      <c r="G59" s="7"/>
      <c r="H59" s="52">
        <f t="shared" si="9"/>
        <v>0</v>
      </c>
      <c r="I59" s="51"/>
      <c r="J59" s="7"/>
      <c r="K59" s="52">
        <f t="shared" si="10"/>
        <v>0</v>
      </c>
      <c r="L59" s="51"/>
      <c r="M59" s="7"/>
      <c r="N59" s="165">
        <f t="shared" si="11"/>
        <v>0</v>
      </c>
    </row>
    <row r="60" spans="1:14" ht="12.75">
      <c r="A60" s="73" t="s">
        <v>60</v>
      </c>
      <c r="B60" s="51"/>
      <c r="C60" s="7"/>
      <c r="D60" s="7"/>
      <c r="E60" s="52">
        <f t="shared" si="8"/>
        <v>0</v>
      </c>
      <c r="F60" s="51">
        <f>204.7+101.8+97.8+101.7+101.8+2273.5+255</f>
        <v>3136.3</v>
      </c>
      <c r="G60" s="7"/>
      <c r="H60" s="52">
        <f t="shared" si="9"/>
        <v>3136.3</v>
      </c>
      <c r="I60" s="51">
        <f>370.2+4107.4</f>
        <v>4477.599999999999</v>
      </c>
      <c r="J60" s="7"/>
      <c r="K60" s="52">
        <f t="shared" si="10"/>
        <v>7613.9</v>
      </c>
      <c r="L60" s="51">
        <f>853.2+83.6+185+183.8+335</f>
        <v>1640.6000000000001</v>
      </c>
      <c r="M60" s="7"/>
      <c r="N60" s="165">
        <f t="shared" si="11"/>
        <v>9254.5</v>
      </c>
    </row>
    <row r="61" spans="1:14" ht="12.75" hidden="1">
      <c r="A61" s="73" t="s">
        <v>50</v>
      </c>
      <c r="B61" s="51"/>
      <c r="C61" s="7"/>
      <c r="D61" s="7"/>
      <c r="E61" s="52">
        <f t="shared" si="8"/>
        <v>0</v>
      </c>
      <c r="F61" s="51"/>
      <c r="G61" s="7"/>
      <c r="H61" s="52">
        <f t="shared" si="9"/>
        <v>0</v>
      </c>
      <c r="I61" s="51"/>
      <c r="J61" s="7"/>
      <c r="K61" s="52">
        <f t="shared" si="10"/>
        <v>0</v>
      </c>
      <c r="L61" s="51"/>
      <c r="M61" s="7"/>
      <c r="N61" s="165">
        <f t="shared" si="11"/>
        <v>0</v>
      </c>
    </row>
    <row r="62" spans="1:14" ht="12.75">
      <c r="A62" s="73" t="s">
        <v>51</v>
      </c>
      <c r="B62" s="51"/>
      <c r="C62" s="7"/>
      <c r="D62" s="7"/>
      <c r="E62" s="52">
        <f t="shared" si="8"/>
        <v>0</v>
      </c>
      <c r="F62" s="51"/>
      <c r="G62" s="7"/>
      <c r="H62" s="52">
        <f t="shared" si="9"/>
        <v>0</v>
      </c>
      <c r="I62" s="51">
        <v>196.2</v>
      </c>
      <c r="J62" s="7"/>
      <c r="K62" s="52">
        <f t="shared" si="10"/>
        <v>196.2</v>
      </c>
      <c r="L62" s="51"/>
      <c r="M62" s="7"/>
      <c r="N62" s="165">
        <f t="shared" si="11"/>
        <v>196.2</v>
      </c>
    </row>
    <row r="63" spans="1:14" ht="12.75">
      <c r="A63" s="73" t="s">
        <v>52</v>
      </c>
      <c r="B63" s="51">
        <v>150</v>
      </c>
      <c r="C63" s="7"/>
      <c r="D63" s="7"/>
      <c r="E63" s="52">
        <f t="shared" si="8"/>
        <v>150</v>
      </c>
      <c r="F63" s="51"/>
      <c r="G63" s="7"/>
      <c r="H63" s="52">
        <f t="shared" si="9"/>
        <v>150</v>
      </c>
      <c r="I63" s="51">
        <v>1249.5</v>
      </c>
      <c r="J63" s="7">
        <v>50</v>
      </c>
      <c r="K63" s="52">
        <f t="shared" si="10"/>
        <v>1449.5</v>
      </c>
      <c r="L63" s="51">
        <v>644.1</v>
      </c>
      <c r="M63" s="7"/>
      <c r="N63" s="165">
        <f t="shared" si="11"/>
        <v>2093.6</v>
      </c>
    </row>
    <row r="64" spans="1:14" ht="12.75">
      <c r="A64" s="73" t="s">
        <v>326</v>
      </c>
      <c r="B64" s="51"/>
      <c r="C64" s="7"/>
      <c r="D64" s="7"/>
      <c r="E64" s="52"/>
      <c r="F64" s="51"/>
      <c r="G64" s="7"/>
      <c r="H64" s="52"/>
      <c r="I64" s="51"/>
      <c r="J64" s="7"/>
      <c r="K64" s="52">
        <f t="shared" si="10"/>
        <v>0</v>
      </c>
      <c r="L64" s="51">
        <v>50</v>
      </c>
      <c r="M64" s="7"/>
      <c r="N64" s="165">
        <f t="shared" si="11"/>
        <v>50</v>
      </c>
    </row>
    <row r="65" spans="1:14" ht="12.75" hidden="1">
      <c r="A65" s="74" t="s">
        <v>53</v>
      </c>
      <c r="B65" s="53">
        <f>SUM(B67:B69)</f>
        <v>0</v>
      </c>
      <c r="C65" s="8">
        <f aca="true" t="shared" si="12" ref="C65:N65">SUM(C67:C69)</f>
        <v>0</v>
      </c>
      <c r="D65" s="8">
        <f t="shared" si="12"/>
        <v>0</v>
      </c>
      <c r="E65" s="54">
        <f t="shared" si="12"/>
        <v>0</v>
      </c>
      <c r="F65" s="53">
        <f t="shared" si="12"/>
        <v>0</v>
      </c>
      <c r="G65" s="8">
        <f t="shared" si="12"/>
        <v>0</v>
      </c>
      <c r="H65" s="54">
        <f t="shared" si="12"/>
        <v>0</v>
      </c>
      <c r="I65" s="53">
        <f t="shared" si="12"/>
        <v>0</v>
      </c>
      <c r="J65" s="8">
        <f t="shared" si="12"/>
        <v>0</v>
      </c>
      <c r="K65" s="54">
        <f t="shared" si="12"/>
        <v>0</v>
      </c>
      <c r="L65" s="53">
        <f t="shared" si="12"/>
        <v>0</v>
      </c>
      <c r="M65" s="8">
        <f t="shared" si="12"/>
        <v>0</v>
      </c>
      <c r="N65" s="66">
        <f t="shared" si="12"/>
        <v>0</v>
      </c>
    </row>
    <row r="66" spans="1:14" ht="12.75" hidden="1">
      <c r="A66" s="71" t="s">
        <v>38</v>
      </c>
      <c r="B66" s="51"/>
      <c r="C66" s="7"/>
      <c r="D66" s="7"/>
      <c r="E66" s="52"/>
      <c r="F66" s="51"/>
      <c r="G66" s="7"/>
      <c r="H66" s="52"/>
      <c r="I66" s="51"/>
      <c r="J66" s="7"/>
      <c r="K66" s="52"/>
      <c r="L66" s="51"/>
      <c r="M66" s="7"/>
      <c r="N66" s="165">
        <f>K66+L66+M66</f>
        <v>0</v>
      </c>
    </row>
    <row r="67" spans="1:14" ht="12.75" hidden="1">
      <c r="A67" s="73" t="s">
        <v>54</v>
      </c>
      <c r="B67" s="51"/>
      <c r="C67" s="7"/>
      <c r="D67" s="7"/>
      <c r="E67" s="52">
        <f>B67+C67+D67</f>
        <v>0</v>
      </c>
      <c r="F67" s="51"/>
      <c r="G67" s="7"/>
      <c r="H67" s="52">
        <f>E67+F67+G67</f>
        <v>0</v>
      </c>
      <c r="I67" s="51"/>
      <c r="J67" s="7"/>
      <c r="K67" s="52">
        <f>H67+I67+J67</f>
        <v>0</v>
      </c>
      <c r="L67" s="51"/>
      <c r="M67" s="7"/>
      <c r="N67" s="165">
        <f>K67+L67+M67</f>
        <v>0</v>
      </c>
    </row>
    <row r="68" spans="1:14" ht="12.75" hidden="1">
      <c r="A68" s="73" t="s">
        <v>55</v>
      </c>
      <c r="B68" s="51"/>
      <c r="C68" s="7"/>
      <c r="D68" s="7"/>
      <c r="E68" s="52">
        <f>B68+C68+D68</f>
        <v>0</v>
      </c>
      <c r="F68" s="51"/>
      <c r="G68" s="7"/>
      <c r="H68" s="52">
        <f>E68+F68+G68</f>
        <v>0</v>
      </c>
      <c r="I68" s="51"/>
      <c r="J68" s="7"/>
      <c r="K68" s="52">
        <f>H68+I68+J68</f>
        <v>0</v>
      </c>
      <c r="L68" s="51"/>
      <c r="M68" s="7"/>
      <c r="N68" s="165">
        <f>K68+L68+M68</f>
        <v>0</v>
      </c>
    </row>
    <row r="69" spans="1:14" ht="12.75" hidden="1">
      <c r="A69" s="73" t="s">
        <v>56</v>
      </c>
      <c r="B69" s="51"/>
      <c r="C69" s="7"/>
      <c r="D69" s="7"/>
      <c r="E69" s="52">
        <f>B69+C69+D69</f>
        <v>0</v>
      </c>
      <c r="F69" s="51"/>
      <c r="G69" s="7"/>
      <c r="H69" s="52">
        <f>E69+F69+G69</f>
        <v>0</v>
      </c>
      <c r="I69" s="51"/>
      <c r="J69" s="7"/>
      <c r="K69" s="52">
        <f>H69+I69+J69</f>
        <v>0</v>
      </c>
      <c r="L69" s="51"/>
      <c r="M69" s="7"/>
      <c r="N69" s="165">
        <f>K69+L69+M69</f>
        <v>0</v>
      </c>
    </row>
    <row r="70" spans="1:14" ht="12.75">
      <c r="A70" s="70" t="s">
        <v>57</v>
      </c>
      <c r="B70" s="49">
        <f>SUM(B72:B83)</f>
        <v>0</v>
      </c>
      <c r="C70" s="6">
        <f aca="true" t="shared" si="13" ref="C70:N70">SUM(C72:C83)</f>
        <v>0</v>
      </c>
      <c r="D70" s="6">
        <f t="shared" si="13"/>
        <v>0</v>
      </c>
      <c r="E70" s="50">
        <f t="shared" si="13"/>
        <v>0</v>
      </c>
      <c r="F70" s="49">
        <f t="shared" si="13"/>
        <v>142016.7</v>
      </c>
      <c r="G70" s="6">
        <f t="shared" si="13"/>
        <v>0</v>
      </c>
      <c r="H70" s="50">
        <f t="shared" si="13"/>
        <v>142016.7</v>
      </c>
      <c r="I70" s="49">
        <f t="shared" si="13"/>
        <v>32340.600000000002</v>
      </c>
      <c r="J70" s="6">
        <f t="shared" si="13"/>
        <v>0</v>
      </c>
      <c r="K70" s="50">
        <f t="shared" si="13"/>
        <v>174357.3</v>
      </c>
      <c r="L70" s="49">
        <f t="shared" si="13"/>
        <v>59486.3</v>
      </c>
      <c r="M70" s="6">
        <f t="shared" si="13"/>
        <v>0</v>
      </c>
      <c r="N70" s="149">
        <f t="shared" si="13"/>
        <v>233843.6</v>
      </c>
    </row>
    <row r="71" spans="1:14" ht="12.75">
      <c r="A71" s="75" t="s">
        <v>38</v>
      </c>
      <c r="B71" s="51"/>
      <c r="C71" s="7"/>
      <c r="D71" s="7"/>
      <c r="E71" s="52"/>
      <c r="F71" s="51"/>
      <c r="G71" s="7"/>
      <c r="H71" s="52"/>
      <c r="I71" s="51"/>
      <c r="J71" s="7"/>
      <c r="K71" s="52"/>
      <c r="L71" s="51"/>
      <c r="M71" s="7"/>
      <c r="N71" s="165"/>
    </row>
    <row r="72" spans="1:14" ht="12.75">
      <c r="A72" s="73" t="s">
        <v>41</v>
      </c>
      <c r="B72" s="51"/>
      <c r="C72" s="7"/>
      <c r="D72" s="7"/>
      <c r="E72" s="52">
        <f>B72+C72+D72</f>
        <v>0</v>
      </c>
      <c r="F72" s="51">
        <f>81.7+5485.5+1196.9+831.1</f>
        <v>7595.200000000001</v>
      </c>
      <c r="G72" s="7"/>
      <c r="H72" s="52">
        <f>E72+F72+G72</f>
        <v>7595.200000000001</v>
      </c>
      <c r="I72" s="51"/>
      <c r="J72" s="7"/>
      <c r="K72" s="52">
        <f>H72+I72+J72</f>
        <v>7595.200000000001</v>
      </c>
      <c r="L72" s="51"/>
      <c r="M72" s="7"/>
      <c r="N72" s="165">
        <f>K72+L72+M72</f>
        <v>7595.200000000001</v>
      </c>
    </row>
    <row r="73" spans="1:14" ht="12.75" hidden="1">
      <c r="A73" s="77" t="s">
        <v>42</v>
      </c>
      <c r="B73" s="51"/>
      <c r="C73" s="7"/>
      <c r="D73" s="7"/>
      <c r="E73" s="52">
        <f aca="true" t="shared" si="14" ref="E73:E83">B73+C73+D73</f>
        <v>0</v>
      </c>
      <c r="F73" s="51"/>
      <c r="G73" s="7"/>
      <c r="H73" s="52">
        <f aca="true" t="shared" si="15" ref="H73:H83">E73+F73+G73</f>
        <v>0</v>
      </c>
      <c r="I73" s="51"/>
      <c r="J73" s="7"/>
      <c r="K73" s="52">
        <f aca="true" t="shared" si="16" ref="K73:K83">H73+I73+J73</f>
        <v>0</v>
      </c>
      <c r="L73" s="51"/>
      <c r="M73" s="7"/>
      <c r="N73" s="165">
        <f aca="true" t="shared" si="17" ref="N73:N83">K73+L73+M73</f>
        <v>0</v>
      </c>
    </row>
    <row r="74" spans="1:14" ht="12.75" hidden="1">
      <c r="A74" s="77" t="s">
        <v>40</v>
      </c>
      <c r="B74" s="51"/>
      <c r="C74" s="7"/>
      <c r="D74" s="7"/>
      <c r="E74" s="52">
        <f t="shared" si="14"/>
        <v>0</v>
      </c>
      <c r="F74" s="51"/>
      <c r="G74" s="7"/>
      <c r="H74" s="52">
        <f t="shared" si="15"/>
        <v>0</v>
      </c>
      <c r="I74" s="51"/>
      <c r="J74" s="7"/>
      <c r="K74" s="52">
        <f t="shared" si="16"/>
        <v>0</v>
      </c>
      <c r="L74" s="51"/>
      <c r="M74" s="7"/>
      <c r="N74" s="165">
        <f t="shared" si="17"/>
        <v>0</v>
      </c>
    </row>
    <row r="75" spans="1:14" ht="12.75">
      <c r="A75" s="77" t="s">
        <v>58</v>
      </c>
      <c r="B75" s="51"/>
      <c r="C75" s="7"/>
      <c r="D75" s="7"/>
      <c r="E75" s="52">
        <f t="shared" si="14"/>
        <v>0</v>
      </c>
      <c r="F75" s="51">
        <f>27032.2+10389.4</f>
        <v>37421.6</v>
      </c>
      <c r="G75" s="7"/>
      <c r="H75" s="52">
        <f t="shared" si="15"/>
        <v>37421.6</v>
      </c>
      <c r="I75" s="51">
        <v>9149.6</v>
      </c>
      <c r="J75" s="7"/>
      <c r="K75" s="52">
        <f t="shared" si="16"/>
        <v>46571.2</v>
      </c>
      <c r="L75" s="51">
        <f>10294.3+9657.5</f>
        <v>19951.8</v>
      </c>
      <c r="M75" s="7"/>
      <c r="N75" s="165">
        <f t="shared" si="17"/>
        <v>66523</v>
      </c>
    </row>
    <row r="76" spans="1:14" ht="12.75">
      <c r="A76" s="73" t="s">
        <v>43</v>
      </c>
      <c r="B76" s="51"/>
      <c r="C76" s="7"/>
      <c r="D76" s="7"/>
      <c r="E76" s="52">
        <f t="shared" si="14"/>
        <v>0</v>
      </c>
      <c r="F76" s="51">
        <v>3518.4</v>
      </c>
      <c r="G76" s="7"/>
      <c r="H76" s="52">
        <f t="shared" si="15"/>
        <v>3518.4</v>
      </c>
      <c r="I76" s="51">
        <f>643.6+487.8</f>
        <v>1131.4</v>
      </c>
      <c r="J76" s="7"/>
      <c r="K76" s="52">
        <f t="shared" si="16"/>
        <v>4649.8</v>
      </c>
      <c r="L76" s="51"/>
      <c r="M76" s="7"/>
      <c r="N76" s="165">
        <f t="shared" si="17"/>
        <v>4649.8</v>
      </c>
    </row>
    <row r="77" spans="1:14" ht="12.75">
      <c r="A77" s="73" t="s">
        <v>303</v>
      </c>
      <c r="B77" s="51"/>
      <c r="C77" s="7"/>
      <c r="D77" s="7"/>
      <c r="E77" s="52">
        <f t="shared" si="14"/>
        <v>0</v>
      </c>
      <c r="F77" s="51"/>
      <c r="G77" s="7"/>
      <c r="H77" s="52">
        <f t="shared" si="15"/>
        <v>0</v>
      </c>
      <c r="I77" s="51">
        <v>258.4</v>
      </c>
      <c r="J77" s="7"/>
      <c r="K77" s="52">
        <f t="shared" si="16"/>
        <v>258.4</v>
      </c>
      <c r="L77" s="51">
        <v>2515.4</v>
      </c>
      <c r="M77" s="7"/>
      <c r="N77" s="165">
        <f t="shared" si="17"/>
        <v>2773.8</v>
      </c>
    </row>
    <row r="78" spans="1:14" ht="12.75">
      <c r="A78" s="73" t="s">
        <v>304</v>
      </c>
      <c r="B78" s="51"/>
      <c r="C78" s="7"/>
      <c r="D78" s="7"/>
      <c r="E78" s="52">
        <f t="shared" si="14"/>
        <v>0</v>
      </c>
      <c r="F78" s="51"/>
      <c r="G78" s="7"/>
      <c r="H78" s="52">
        <f t="shared" si="15"/>
        <v>0</v>
      </c>
      <c r="I78" s="51">
        <v>15.2</v>
      </c>
      <c r="J78" s="7"/>
      <c r="K78" s="52">
        <f t="shared" si="16"/>
        <v>15.2</v>
      </c>
      <c r="L78" s="51">
        <f>148+25</f>
        <v>173</v>
      </c>
      <c r="M78" s="7"/>
      <c r="N78" s="165">
        <f t="shared" si="17"/>
        <v>188.2</v>
      </c>
    </row>
    <row r="79" spans="1:14" ht="12.75" hidden="1">
      <c r="A79" s="73" t="s">
        <v>59</v>
      </c>
      <c r="B79" s="51"/>
      <c r="C79" s="7"/>
      <c r="D79" s="7"/>
      <c r="E79" s="52">
        <f t="shared" si="14"/>
        <v>0</v>
      </c>
      <c r="F79" s="51"/>
      <c r="G79" s="7"/>
      <c r="H79" s="52">
        <f t="shared" si="15"/>
        <v>0</v>
      </c>
      <c r="I79" s="51"/>
      <c r="J79" s="7"/>
      <c r="K79" s="52">
        <f t="shared" si="16"/>
        <v>0</v>
      </c>
      <c r="L79" s="51"/>
      <c r="M79" s="7"/>
      <c r="N79" s="165">
        <f t="shared" si="17"/>
        <v>0</v>
      </c>
    </row>
    <row r="80" spans="1:14" ht="12.75">
      <c r="A80" s="73" t="s">
        <v>60</v>
      </c>
      <c r="B80" s="51"/>
      <c r="C80" s="7"/>
      <c r="D80" s="7"/>
      <c r="E80" s="52">
        <f t="shared" si="14"/>
        <v>0</v>
      </c>
      <c r="F80" s="51">
        <f>3151.8+2891.6+210+4246.2+2555.2+12953.9+4454+1996.4</f>
        <v>32459.1</v>
      </c>
      <c r="G80" s="7"/>
      <c r="H80" s="52">
        <f t="shared" si="15"/>
        <v>32459.1</v>
      </c>
      <c r="I80" s="51">
        <f>1155.3+1371</f>
        <v>2526.3</v>
      </c>
      <c r="J80" s="7"/>
      <c r="K80" s="52">
        <f t="shared" si="16"/>
        <v>34985.4</v>
      </c>
      <c r="L80" s="51">
        <f>3115.2+524.4+1072.8+15957.1+8515.8+699.5+6961.3</f>
        <v>36846.1</v>
      </c>
      <c r="M80" s="7"/>
      <c r="N80" s="165">
        <f t="shared" si="17"/>
        <v>71831.5</v>
      </c>
    </row>
    <row r="81" spans="1:14" ht="12.75" hidden="1">
      <c r="A81" s="73" t="s">
        <v>61</v>
      </c>
      <c r="B81" s="51"/>
      <c r="C81" s="7"/>
      <c r="D81" s="7"/>
      <c r="E81" s="52">
        <f t="shared" si="14"/>
        <v>0</v>
      </c>
      <c r="F81" s="51"/>
      <c r="G81" s="7"/>
      <c r="H81" s="52">
        <f t="shared" si="15"/>
        <v>0</v>
      </c>
      <c r="I81" s="51"/>
      <c r="J81" s="7"/>
      <c r="K81" s="52">
        <f t="shared" si="16"/>
        <v>0</v>
      </c>
      <c r="L81" s="51"/>
      <c r="M81" s="7"/>
      <c r="N81" s="165">
        <f t="shared" si="17"/>
        <v>0</v>
      </c>
    </row>
    <row r="82" spans="1:14" ht="12.75">
      <c r="A82" s="73" t="s">
        <v>47</v>
      </c>
      <c r="B82" s="51"/>
      <c r="C82" s="7"/>
      <c r="D82" s="7"/>
      <c r="E82" s="52">
        <f t="shared" si="14"/>
        <v>0</v>
      </c>
      <c r="F82" s="51">
        <f>60437.6+584.8</f>
        <v>61022.4</v>
      </c>
      <c r="G82" s="7"/>
      <c r="H82" s="52">
        <f t="shared" si="15"/>
        <v>61022.4</v>
      </c>
      <c r="I82" s="51">
        <f>10941.4+8291.9+26.4</f>
        <v>19259.7</v>
      </c>
      <c r="J82" s="7"/>
      <c r="K82" s="52">
        <f t="shared" si="16"/>
        <v>80282.1</v>
      </c>
      <c r="L82" s="51"/>
      <c r="M82" s="7"/>
      <c r="N82" s="165">
        <f t="shared" si="17"/>
        <v>80282.1</v>
      </c>
    </row>
    <row r="83" spans="1:14" ht="12.75" hidden="1">
      <c r="A83" s="73" t="s">
        <v>62</v>
      </c>
      <c r="B83" s="51"/>
      <c r="C83" s="7"/>
      <c r="D83" s="7"/>
      <c r="E83" s="52">
        <f t="shared" si="14"/>
        <v>0</v>
      </c>
      <c r="F83" s="51"/>
      <c r="G83" s="7"/>
      <c r="H83" s="52">
        <f t="shared" si="15"/>
        <v>0</v>
      </c>
      <c r="I83" s="51"/>
      <c r="J83" s="7"/>
      <c r="K83" s="52">
        <f t="shared" si="16"/>
        <v>0</v>
      </c>
      <c r="L83" s="51"/>
      <c r="M83" s="7"/>
      <c r="N83" s="165">
        <f t="shared" si="17"/>
        <v>0</v>
      </c>
    </row>
    <row r="84" spans="1:14" ht="12.75">
      <c r="A84" s="74" t="s">
        <v>63</v>
      </c>
      <c r="B84" s="53">
        <f>SUM(B86:B88)</f>
        <v>0</v>
      </c>
      <c r="C84" s="8">
        <f aca="true" t="shared" si="18" ref="C84:N84">SUM(C86:C88)</f>
        <v>0</v>
      </c>
      <c r="D84" s="8">
        <f t="shared" si="18"/>
        <v>0</v>
      </c>
      <c r="E84" s="54">
        <f t="shared" si="18"/>
        <v>0</v>
      </c>
      <c r="F84" s="53">
        <f t="shared" si="18"/>
        <v>0</v>
      </c>
      <c r="G84" s="8">
        <f t="shared" si="18"/>
        <v>0</v>
      </c>
      <c r="H84" s="54">
        <f t="shared" si="18"/>
        <v>0</v>
      </c>
      <c r="I84" s="53">
        <f t="shared" si="18"/>
        <v>12974.8</v>
      </c>
      <c r="J84" s="8">
        <f t="shared" si="18"/>
        <v>0</v>
      </c>
      <c r="K84" s="54">
        <f t="shared" si="18"/>
        <v>12974.8</v>
      </c>
      <c r="L84" s="53">
        <f t="shared" si="18"/>
        <v>0</v>
      </c>
      <c r="M84" s="8">
        <f t="shared" si="18"/>
        <v>0</v>
      </c>
      <c r="N84" s="66">
        <f t="shared" si="18"/>
        <v>12974.8</v>
      </c>
    </row>
    <row r="85" spans="1:14" ht="12.75">
      <c r="A85" s="71" t="s">
        <v>38</v>
      </c>
      <c r="B85" s="51"/>
      <c r="C85" s="7"/>
      <c r="D85" s="7"/>
      <c r="E85" s="52"/>
      <c r="F85" s="51"/>
      <c r="G85" s="7"/>
      <c r="H85" s="52"/>
      <c r="I85" s="51"/>
      <c r="J85" s="7"/>
      <c r="K85" s="52"/>
      <c r="L85" s="51"/>
      <c r="M85" s="7"/>
      <c r="N85" s="165"/>
    </row>
    <row r="86" spans="1:14" ht="12.75">
      <c r="A86" s="73" t="s">
        <v>64</v>
      </c>
      <c r="B86" s="51"/>
      <c r="C86" s="7"/>
      <c r="D86" s="7"/>
      <c r="E86" s="52">
        <f>B86+C86+D86</f>
        <v>0</v>
      </c>
      <c r="F86" s="51"/>
      <c r="G86" s="7"/>
      <c r="H86" s="52">
        <f>E86+F86+G86</f>
        <v>0</v>
      </c>
      <c r="I86" s="51">
        <v>12974.8</v>
      </c>
      <c r="J86" s="7"/>
      <c r="K86" s="52">
        <f>H86+I86+J86</f>
        <v>12974.8</v>
      </c>
      <c r="L86" s="51"/>
      <c r="M86" s="7"/>
      <c r="N86" s="165">
        <f>K86+L86+M86</f>
        <v>12974.8</v>
      </c>
    </row>
    <row r="87" spans="1:14" ht="12.75" hidden="1">
      <c r="A87" s="73" t="s">
        <v>35</v>
      </c>
      <c r="B87" s="51"/>
      <c r="C87" s="7"/>
      <c r="D87" s="7"/>
      <c r="E87" s="52">
        <f>B87+C87+D87</f>
        <v>0</v>
      </c>
      <c r="F87" s="51"/>
      <c r="G87" s="7"/>
      <c r="H87" s="52">
        <f>E87+F87+G87</f>
        <v>0</v>
      </c>
      <c r="I87" s="51"/>
      <c r="J87" s="7"/>
      <c r="K87" s="52">
        <f>H87+I87+J87</f>
        <v>0</v>
      </c>
      <c r="L87" s="51"/>
      <c r="M87" s="7"/>
      <c r="N87" s="165">
        <f>K87+L87+M87</f>
        <v>0</v>
      </c>
    </row>
    <row r="88" spans="1:14" ht="12.75" hidden="1">
      <c r="A88" s="73" t="s">
        <v>55</v>
      </c>
      <c r="B88" s="51"/>
      <c r="C88" s="7"/>
      <c r="D88" s="7"/>
      <c r="E88" s="52">
        <f>B88+C88+D88</f>
        <v>0</v>
      </c>
      <c r="F88" s="51"/>
      <c r="G88" s="7"/>
      <c r="H88" s="52">
        <f>E88+F88+G88</f>
        <v>0</v>
      </c>
      <c r="I88" s="51"/>
      <c r="J88" s="7"/>
      <c r="K88" s="52">
        <f>H88+I88+J88</f>
        <v>0</v>
      </c>
      <c r="L88" s="51"/>
      <c r="M88" s="7"/>
      <c r="N88" s="165">
        <f>K88+L88+M88</f>
        <v>0</v>
      </c>
    </row>
    <row r="89" spans="1:14" ht="12.75">
      <c r="A89" s="74" t="s">
        <v>65</v>
      </c>
      <c r="B89" s="53"/>
      <c r="C89" s="8"/>
      <c r="D89" s="8"/>
      <c r="E89" s="54">
        <f>B89+C89+D89</f>
        <v>0</v>
      </c>
      <c r="F89" s="53"/>
      <c r="G89" s="8">
        <v>4851.2</v>
      </c>
      <c r="H89" s="54">
        <f>E89+F89+G89</f>
        <v>4851.2</v>
      </c>
      <c r="I89" s="53">
        <f>4610.8+140.2+457.7+829.1</f>
        <v>6037.8</v>
      </c>
      <c r="J89" s="8"/>
      <c r="K89" s="54">
        <f>H89+I89+J89</f>
        <v>10889</v>
      </c>
      <c r="L89" s="53"/>
      <c r="M89" s="8"/>
      <c r="N89" s="66">
        <f>K89+L89+M89</f>
        <v>10889</v>
      </c>
    </row>
    <row r="90" spans="1:14" ht="16.5" thickBot="1">
      <c r="A90" s="78" t="s">
        <v>66</v>
      </c>
      <c r="B90" s="57">
        <f>B11+B14+B46+B89+B70+B40+B84</f>
        <v>3209466</v>
      </c>
      <c r="C90" s="11">
        <f aca="true" t="shared" si="19" ref="C90:J90">C11+C14+C46+C89+C70+C40</f>
        <v>4283335.1</v>
      </c>
      <c r="D90" s="11">
        <f t="shared" si="19"/>
        <v>720</v>
      </c>
      <c r="E90" s="58">
        <f t="shared" si="19"/>
        <v>7493521.1</v>
      </c>
      <c r="F90" s="57">
        <f t="shared" si="19"/>
        <v>657854.9000000001</v>
      </c>
      <c r="G90" s="11">
        <f t="shared" si="19"/>
        <v>5866.5</v>
      </c>
      <c r="H90" s="58">
        <f>H11+H14+H46+H89+H70+H40+H84</f>
        <v>8157242.5</v>
      </c>
      <c r="I90" s="57">
        <f>I11+I14+I46+I89+I70+I40+I84</f>
        <v>335510.69999999995</v>
      </c>
      <c r="J90" s="11">
        <f t="shared" si="19"/>
        <v>2442.9</v>
      </c>
      <c r="K90" s="58">
        <f>K11+K14+K46+K89+K70+K40+K84</f>
        <v>8495196.100000001</v>
      </c>
      <c r="L90" s="57">
        <f>L11+L14+L46+L89+L70+L40+L84</f>
        <v>213380.50000000006</v>
      </c>
      <c r="M90" s="11">
        <f>M11+M14+M46+M89+M70+M40+M84</f>
        <v>0</v>
      </c>
      <c r="N90" s="170">
        <f>N11+N14+N46+N89+N70+N40+N84</f>
        <v>8708576.599999998</v>
      </c>
    </row>
    <row r="91" spans="1:14" ht="12.75">
      <c r="A91" s="70" t="s">
        <v>67</v>
      </c>
      <c r="B91" s="49"/>
      <c r="C91" s="7"/>
      <c r="D91" s="7"/>
      <c r="E91" s="52"/>
      <c r="F91" s="51"/>
      <c r="G91" s="7"/>
      <c r="H91" s="52"/>
      <c r="I91" s="51"/>
      <c r="J91" s="7"/>
      <c r="K91" s="52"/>
      <c r="L91" s="51"/>
      <c r="M91" s="7"/>
      <c r="N91" s="165"/>
    </row>
    <row r="92" spans="1:14" ht="12.75">
      <c r="A92" s="70" t="s">
        <v>68</v>
      </c>
      <c r="B92" s="49">
        <f>B93+B103</f>
        <v>43400</v>
      </c>
      <c r="C92" s="6">
        <f aca="true" t="shared" si="20" ref="C92:N92">C93+C103</f>
        <v>2150</v>
      </c>
      <c r="D92" s="6">
        <f t="shared" si="20"/>
        <v>0</v>
      </c>
      <c r="E92" s="50">
        <f t="shared" si="20"/>
        <v>45550</v>
      </c>
      <c r="F92" s="49">
        <f t="shared" si="20"/>
        <v>0</v>
      </c>
      <c r="G92" s="6">
        <f t="shared" si="20"/>
        <v>0</v>
      </c>
      <c r="H92" s="50">
        <f t="shared" si="20"/>
        <v>45550</v>
      </c>
      <c r="I92" s="49">
        <f t="shared" si="20"/>
        <v>2960</v>
      </c>
      <c r="J92" s="6">
        <f t="shared" si="20"/>
        <v>0</v>
      </c>
      <c r="K92" s="50">
        <f t="shared" si="20"/>
        <v>48510</v>
      </c>
      <c r="L92" s="49">
        <f t="shared" si="20"/>
        <v>1000</v>
      </c>
      <c r="M92" s="6">
        <f t="shared" si="20"/>
        <v>0</v>
      </c>
      <c r="N92" s="149">
        <f t="shared" si="20"/>
        <v>49510</v>
      </c>
    </row>
    <row r="93" spans="1:14" ht="12.75">
      <c r="A93" s="79" t="s">
        <v>69</v>
      </c>
      <c r="B93" s="59">
        <f aca="true" t="shared" si="21" ref="B93:N93">SUM(B95:B102)</f>
        <v>40400</v>
      </c>
      <c r="C93" s="12">
        <f t="shared" si="21"/>
        <v>2050</v>
      </c>
      <c r="D93" s="12">
        <f t="shared" si="21"/>
        <v>0</v>
      </c>
      <c r="E93" s="60">
        <f t="shared" si="21"/>
        <v>42450</v>
      </c>
      <c r="F93" s="59">
        <f t="shared" si="21"/>
        <v>2900</v>
      </c>
      <c r="G93" s="12">
        <f t="shared" si="21"/>
        <v>0</v>
      </c>
      <c r="H93" s="60">
        <f t="shared" si="21"/>
        <v>45350</v>
      </c>
      <c r="I93" s="59">
        <f t="shared" si="21"/>
        <v>2625</v>
      </c>
      <c r="J93" s="12">
        <f t="shared" si="21"/>
        <v>0</v>
      </c>
      <c r="K93" s="60">
        <f t="shared" si="21"/>
        <v>47975</v>
      </c>
      <c r="L93" s="59">
        <f t="shared" si="21"/>
        <v>741</v>
      </c>
      <c r="M93" s="12">
        <f t="shared" si="21"/>
        <v>0</v>
      </c>
      <c r="N93" s="150">
        <f t="shared" si="21"/>
        <v>48716</v>
      </c>
    </row>
    <row r="94" spans="1:14" ht="10.5" customHeight="1">
      <c r="A94" s="75" t="s">
        <v>38</v>
      </c>
      <c r="B94" s="51"/>
      <c r="C94" s="7"/>
      <c r="D94" s="7"/>
      <c r="E94" s="52"/>
      <c r="F94" s="51"/>
      <c r="G94" s="7"/>
      <c r="H94" s="52"/>
      <c r="I94" s="51"/>
      <c r="J94" s="7"/>
      <c r="K94" s="52"/>
      <c r="L94" s="51"/>
      <c r="M94" s="7"/>
      <c r="N94" s="165"/>
    </row>
    <row r="95" spans="1:14" ht="12.75">
      <c r="A95" s="73" t="s">
        <v>211</v>
      </c>
      <c r="B95" s="51">
        <v>18747</v>
      </c>
      <c r="C95" s="7"/>
      <c r="D95" s="7"/>
      <c r="E95" s="52">
        <f>B95+C95</f>
        <v>18747</v>
      </c>
      <c r="F95" s="51"/>
      <c r="G95" s="7"/>
      <c r="H95" s="52">
        <f aca="true" t="shared" si="22" ref="H95:H102">E95+F95+G95</f>
        <v>18747</v>
      </c>
      <c r="I95" s="51"/>
      <c r="J95" s="7"/>
      <c r="K95" s="52">
        <f aca="true" t="shared" si="23" ref="K95:K102">H95+I95+J95</f>
        <v>18747</v>
      </c>
      <c r="L95" s="51"/>
      <c r="M95" s="7"/>
      <c r="N95" s="165">
        <f aca="true" t="shared" si="24" ref="N95:N102">K95+L95+M95</f>
        <v>18747</v>
      </c>
    </row>
    <row r="96" spans="1:14" ht="12.75">
      <c r="A96" s="73" t="s">
        <v>70</v>
      </c>
      <c r="B96" s="51">
        <v>4767</v>
      </c>
      <c r="C96" s="7"/>
      <c r="D96" s="7"/>
      <c r="E96" s="52">
        <f>B96+C96</f>
        <v>4767</v>
      </c>
      <c r="F96" s="51"/>
      <c r="G96" s="7"/>
      <c r="H96" s="52">
        <f t="shared" si="22"/>
        <v>4767</v>
      </c>
      <c r="I96" s="51"/>
      <c r="J96" s="7"/>
      <c r="K96" s="52">
        <f t="shared" si="23"/>
        <v>4767</v>
      </c>
      <c r="L96" s="51"/>
      <c r="M96" s="7"/>
      <c r="N96" s="165">
        <f t="shared" si="24"/>
        <v>4767</v>
      </c>
    </row>
    <row r="97" spans="1:14" ht="12.75">
      <c r="A97" s="73" t="s">
        <v>71</v>
      </c>
      <c r="B97" s="51">
        <v>1150</v>
      </c>
      <c r="C97" s="7">
        <v>150</v>
      </c>
      <c r="D97" s="7"/>
      <c r="E97" s="52">
        <f>B97+C97+D97</f>
        <v>1300</v>
      </c>
      <c r="F97" s="51"/>
      <c r="G97" s="7"/>
      <c r="H97" s="52">
        <f t="shared" si="22"/>
        <v>1300</v>
      </c>
      <c r="I97" s="51"/>
      <c r="J97" s="7"/>
      <c r="K97" s="52">
        <f t="shared" si="23"/>
        <v>1300</v>
      </c>
      <c r="L97" s="51"/>
      <c r="M97" s="7"/>
      <c r="N97" s="165">
        <f t="shared" si="24"/>
        <v>1300</v>
      </c>
    </row>
    <row r="98" spans="1:14" ht="12.75" hidden="1">
      <c r="A98" s="73" t="s">
        <v>314</v>
      </c>
      <c r="B98" s="51"/>
      <c r="C98" s="7"/>
      <c r="D98" s="7"/>
      <c r="E98" s="52">
        <f>B98+C98+D98</f>
        <v>0</v>
      </c>
      <c r="F98" s="51">
        <v>3000</v>
      </c>
      <c r="G98" s="7"/>
      <c r="H98" s="52">
        <f t="shared" si="22"/>
        <v>3000</v>
      </c>
      <c r="I98" s="51">
        <v>-3000</v>
      </c>
      <c r="J98" s="7"/>
      <c r="K98" s="52">
        <f t="shared" si="23"/>
        <v>0</v>
      </c>
      <c r="L98" s="51"/>
      <c r="M98" s="7"/>
      <c r="N98" s="165">
        <f t="shared" si="24"/>
        <v>0</v>
      </c>
    </row>
    <row r="99" spans="1:14" ht="12.75">
      <c r="A99" s="73" t="s">
        <v>315</v>
      </c>
      <c r="B99" s="51"/>
      <c r="C99" s="7"/>
      <c r="D99" s="7"/>
      <c r="E99" s="52"/>
      <c r="F99" s="51"/>
      <c r="G99" s="7"/>
      <c r="H99" s="52">
        <f t="shared" si="22"/>
        <v>0</v>
      </c>
      <c r="I99" s="51">
        <f>3000+1000</f>
        <v>4000</v>
      </c>
      <c r="J99" s="7"/>
      <c r="K99" s="52">
        <f t="shared" si="23"/>
        <v>4000</v>
      </c>
      <c r="L99" s="51"/>
      <c r="M99" s="7"/>
      <c r="N99" s="165">
        <f t="shared" si="24"/>
        <v>4000</v>
      </c>
    </row>
    <row r="100" spans="1:14" ht="12.75">
      <c r="A100" s="73" t="s">
        <v>72</v>
      </c>
      <c r="B100" s="51">
        <v>7581</v>
      </c>
      <c r="C100" s="7">
        <f>50+1450</f>
        <v>1500</v>
      </c>
      <c r="D100" s="7"/>
      <c r="E100" s="52">
        <f>B100+C100+D100</f>
        <v>9081</v>
      </c>
      <c r="F100" s="51"/>
      <c r="G100" s="7"/>
      <c r="H100" s="52">
        <f t="shared" si="22"/>
        <v>9081</v>
      </c>
      <c r="I100" s="51">
        <v>-40</v>
      </c>
      <c r="J100" s="7"/>
      <c r="K100" s="52">
        <f t="shared" si="23"/>
        <v>9041</v>
      </c>
      <c r="L100" s="51"/>
      <c r="M100" s="7"/>
      <c r="N100" s="165">
        <f t="shared" si="24"/>
        <v>9041</v>
      </c>
    </row>
    <row r="101" spans="1:14" ht="12.75">
      <c r="A101" s="73" t="s">
        <v>73</v>
      </c>
      <c r="B101" s="51">
        <v>500</v>
      </c>
      <c r="C101" s="7"/>
      <c r="D101" s="7"/>
      <c r="E101" s="52">
        <f>SUM(B101:D101)</f>
        <v>500</v>
      </c>
      <c r="F101" s="51"/>
      <c r="G101" s="7"/>
      <c r="H101" s="52">
        <f t="shared" si="22"/>
        <v>500</v>
      </c>
      <c r="I101" s="51"/>
      <c r="J101" s="7"/>
      <c r="K101" s="52">
        <f t="shared" si="23"/>
        <v>500</v>
      </c>
      <c r="L101" s="51"/>
      <c r="M101" s="7"/>
      <c r="N101" s="165">
        <f t="shared" si="24"/>
        <v>500</v>
      </c>
    </row>
    <row r="102" spans="1:14" ht="12.75">
      <c r="A102" s="73" t="s">
        <v>74</v>
      </c>
      <c r="B102" s="51">
        <v>7655</v>
      </c>
      <c r="C102" s="7">
        <f>500-100</f>
        <v>400</v>
      </c>
      <c r="D102" s="7"/>
      <c r="E102" s="52">
        <f>SUM(B102:D102)</f>
        <v>8055</v>
      </c>
      <c r="F102" s="51">
        <v>-100</v>
      </c>
      <c r="G102" s="7"/>
      <c r="H102" s="52">
        <f t="shared" si="22"/>
        <v>7955</v>
      </c>
      <c r="I102" s="51">
        <f>-85-100-50-100+2000</f>
        <v>1665</v>
      </c>
      <c r="J102" s="7"/>
      <c r="K102" s="52">
        <f t="shared" si="23"/>
        <v>9620</v>
      </c>
      <c r="L102" s="51">
        <f>1000-99-65-95</f>
        <v>741</v>
      </c>
      <c r="M102" s="7"/>
      <c r="N102" s="165">
        <f t="shared" si="24"/>
        <v>10361</v>
      </c>
    </row>
    <row r="103" spans="1:14" ht="12.75">
      <c r="A103" s="80" t="s">
        <v>75</v>
      </c>
      <c r="B103" s="61">
        <f>SUM(B105:B107)</f>
        <v>3000</v>
      </c>
      <c r="C103" s="13">
        <f aca="true" t="shared" si="25" ref="C103:N103">SUM(C105:C107)</f>
        <v>100</v>
      </c>
      <c r="D103" s="13">
        <f t="shared" si="25"/>
        <v>0</v>
      </c>
      <c r="E103" s="62">
        <f t="shared" si="25"/>
        <v>3100</v>
      </c>
      <c r="F103" s="61">
        <f t="shared" si="25"/>
        <v>-2900</v>
      </c>
      <c r="G103" s="13">
        <f t="shared" si="25"/>
        <v>0</v>
      </c>
      <c r="H103" s="62">
        <f t="shared" si="25"/>
        <v>200</v>
      </c>
      <c r="I103" s="61">
        <f t="shared" si="25"/>
        <v>335</v>
      </c>
      <c r="J103" s="13">
        <f t="shared" si="25"/>
        <v>0</v>
      </c>
      <c r="K103" s="62">
        <f t="shared" si="25"/>
        <v>535</v>
      </c>
      <c r="L103" s="61">
        <f t="shared" si="25"/>
        <v>259</v>
      </c>
      <c r="M103" s="13">
        <f t="shared" si="25"/>
        <v>0</v>
      </c>
      <c r="N103" s="171">
        <f t="shared" si="25"/>
        <v>794</v>
      </c>
    </row>
    <row r="104" spans="1:14" ht="11.25" customHeight="1">
      <c r="A104" s="71" t="s">
        <v>38</v>
      </c>
      <c r="B104" s="53"/>
      <c r="C104" s="8"/>
      <c r="D104" s="8"/>
      <c r="E104" s="54"/>
      <c r="F104" s="53"/>
      <c r="G104" s="8"/>
      <c r="H104" s="54"/>
      <c r="I104" s="53"/>
      <c r="J104" s="8"/>
      <c r="K104" s="54"/>
      <c r="L104" s="53"/>
      <c r="M104" s="8"/>
      <c r="N104" s="66"/>
    </row>
    <row r="105" spans="1:14" ht="12.75">
      <c r="A105" s="73" t="s">
        <v>316</v>
      </c>
      <c r="B105" s="51">
        <v>3000</v>
      </c>
      <c r="C105" s="7"/>
      <c r="D105" s="7"/>
      <c r="E105" s="52">
        <f>B105+C105</f>
        <v>3000</v>
      </c>
      <c r="F105" s="51">
        <v>-3000</v>
      </c>
      <c r="G105" s="7"/>
      <c r="H105" s="52">
        <f>E105+F105+G105</f>
        <v>0</v>
      </c>
      <c r="I105" s="51"/>
      <c r="J105" s="7"/>
      <c r="K105" s="52">
        <f>H105+I105+J105</f>
        <v>0</v>
      </c>
      <c r="L105" s="51"/>
      <c r="M105" s="7"/>
      <c r="N105" s="165">
        <f>K105+L105+M105</f>
        <v>0</v>
      </c>
    </row>
    <row r="106" spans="1:14" ht="12.75">
      <c r="A106" s="76" t="s">
        <v>74</v>
      </c>
      <c r="B106" s="55"/>
      <c r="C106" s="10">
        <v>100</v>
      </c>
      <c r="D106" s="10"/>
      <c r="E106" s="56">
        <f>B106+C106</f>
        <v>100</v>
      </c>
      <c r="F106" s="55">
        <v>100</v>
      </c>
      <c r="G106" s="10"/>
      <c r="H106" s="56">
        <f>E106+F106+G106</f>
        <v>200</v>
      </c>
      <c r="I106" s="55">
        <f>85+100+50+100</f>
        <v>335</v>
      </c>
      <c r="J106" s="10"/>
      <c r="K106" s="56">
        <f>H106+I106+J106</f>
        <v>535</v>
      </c>
      <c r="L106" s="55">
        <f>99+65+95</f>
        <v>259</v>
      </c>
      <c r="M106" s="10"/>
      <c r="N106" s="164">
        <f>K106+L106+M106</f>
        <v>794</v>
      </c>
    </row>
    <row r="107" spans="1:14" ht="12.75" hidden="1">
      <c r="A107" s="76" t="s">
        <v>76</v>
      </c>
      <c r="B107" s="55"/>
      <c r="C107" s="10"/>
      <c r="D107" s="10"/>
      <c r="E107" s="56">
        <f>SUM(B107:D107)</f>
        <v>0</v>
      </c>
      <c r="F107" s="55"/>
      <c r="G107" s="10"/>
      <c r="H107" s="56">
        <f>E107+F107+G107</f>
        <v>0</v>
      </c>
      <c r="I107" s="55"/>
      <c r="J107" s="10"/>
      <c r="K107" s="56">
        <f>H107+I107+J107</f>
        <v>0</v>
      </c>
      <c r="L107" s="55"/>
      <c r="M107" s="10"/>
      <c r="N107" s="164">
        <f>K107+L107+M107</f>
        <v>0</v>
      </c>
    </row>
    <row r="108" spans="1:14" ht="12.75">
      <c r="A108" s="70" t="s">
        <v>77</v>
      </c>
      <c r="B108" s="49">
        <f>B109+B129</f>
        <v>296656</v>
      </c>
      <c r="C108" s="6">
        <f aca="true" t="shared" si="26" ref="C108:N108">C109+C129</f>
        <v>3996</v>
      </c>
      <c r="D108" s="6">
        <f t="shared" si="26"/>
        <v>0</v>
      </c>
      <c r="E108" s="50">
        <f t="shared" si="26"/>
        <v>300652</v>
      </c>
      <c r="F108" s="49">
        <f t="shared" si="26"/>
        <v>774.2</v>
      </c>
      <c r="G108" s="6">
        <f t="shared" si="26"/>
        <v>0</v>
      </c>
      <c r="H108" s="50">
        <f t="shared" si="26"/>
        <v>301426.2</v>
      </c>
      <c r="I108" s="49">
        <f t="shared" si="26"/>
        <v>4145.9</v>
      </c>
      <c r="J108" s="6">
        <f t="shared" si="26"/>
        <v>-3256.8</v>
      </c>
      <c r="K108" s="50">
        <f t="shared" si="26"/>
        <v>302315.30000000005</v>
      </c>
      <c r="L108" s="49">
        <f t="shared" si="26"/>
        <v>627</v>
      </c>
      <c r="M108" s="6">
        <f t="shared" si="26"/>
        <v>0</v>
      </c>
      <c r="N108" s="149">
        <f t="shared" si="26"/>
        <v>302942.30000000005</v>
      </c>
    </row>
    <row r="109" spans="1:14" ht="12.75">
      <c r="A109" s="79" t="s">
        <v>69</v>
      </c>
      <c r="B109" s="59">
        <f>SUM(B111:B128)</f>
        <v>293649.2</v>
      </c>
      <c r="C109" s="12">
        <f aca="true" t="shared" si="27" ref="C109:N109">SUM(C111:C128)</f>
        <v>3996</v>
      </c>
      <c r="D109" s="12">
        <f t="shared" si="27"/>
        <v>0</v>
      </c>
      <c r="E109" s="60">
        <f t="shared" si="27"/>
        <v>297645.2</v>
      </c>
      <c r="F109" s="59">
        <f t="shared" si="27"/>
        <v>774.2</v>
      </c>
      <c r="G109" s="12">
        <f t="shared" si="27"/>
        <v>0</v>
      </c>
      <c r="H109" s="60">
        <f t="shared" si="27"/>
        <v>298419.4</v>
      </c>
      <c r="I109" s="59">
        <f t="shared" si="27"/>
        <v>3813.9</v>
      </c>
      <c r="J109" s="12">
        <f t="shared" si="27"/>
        <v>-250</v>
      </c>
      <c r="K109" s="60">
        <f t="shared" si="27"/>
        <v>301983.30000000005</v>
      </c>
      <c r="L109" s="59">
        <f t="shared" si="27"/>
        <v>627</v>
      </c>
      <c r="M109" s="12">
        <f t="shared" si="27"/>
        <v>0</v>
      </c>
      <c r="N109" s="150">
        <f t="shared" si="27"/>
        <v>302610.30000000005</v>
      </c>
    </row>
    <row r="110" spans="1:14" ht="12.75">
      <c r="A110" s="75" t="s">
        <v>38</v>
      </c>
      <c r="B110" s="51"/>
      <c r="C110" s="7"/>
      <c r="D110" s="7"/>
      <c r="E110" s="52"/>
      <c r="F110" s="51"/>
      <c r="G110" s="7"/>
      <c r="H110" s="52"/>
      <c r="I110" s="51"/>
      <c r="J110" s="7"/>
      <c r="K110" s="52"/>
      <c r="L110" s="51"/>
      <c r="M110" s="7"/>
      <c r="N110" s="165"/>
    </row>
    <row r="111" spans="1:14" ht="12.75">
      <c r="A111" s="82" t="s">
        <v>212</v>
      </c>
      <c r="B111" s="51">
        <v>134207</v>
      </c>
      <c r="C111" s="7">
        <v>2000</v>
      </c>
      <c r="D111" s="7"/>
      <c r="E111" s="52">
        <f>B111+C111+D111</f>
        <v>136207</v>
      </c>
      <c r="F111" s="51"/>
      <c r="G111" s="7"/>
      <c r="H111" s="52">
        <f>E111+F111+G111</f>
        <v>136207</v>
      </c>
      <c r="I111" s="51">
        <v>40</v>
      </c>
      <c r="J111" s="7"/>
      <c r="K111" s="52">
        <f>H111+I111+J111</f>
        <v>136247</v>
      </c>
      <c r="L111" s="51"/>
      <c r="M111" s="7"/>
      <c r="N111" s="165">
        <f>K111+L111+M111</f>
        <v>136247</v>
      </c>
    </row>
    <row r="112" spans="1:14" ht="12.75">
      <c r="A112" s="73" t="s">
        <v>70</v>
      </c>
      <c r="B112" s="51">
        <v>45321</v>
      </c>
      <c r="C112" s="7"/>
      <c r="D112" s="7"/>
      <c r="E112" s="52">
        <f aca="true" t="shared" si="28" ref="E112:E128">B112+C112+D112</f>
        <v>45321</v>
      </c>
      <c r="F112" s="51"/>
      <c r="G112" s="7"/>
      <c r="H112" s="52">
        <f aca="true" t="shared" si="29" ref="H112:H128">E112+F112+G112</f>
        <v>45321</v>
      </c>
      <c r="I112" s="51"/>
      <c r="J112" s="7"/>
      <c r="K112" s="52">
        <f aca="true" t="shared" si="30" ref="K112:K128">H112+I112+J112</f>
        <v>45321</v>
      </c>
      <c r="L112" s="51"/>
      <c r="M112" s="7"/>
      <c r="N112" s="165">
        <f aca="true" t="shared" si="31" ref="N112:N128">K112+L112+M112</f>
        <v>45321</v>
      </c>
    </row>
    <row r="113" spans="1:14" ht="12.75">
      <c r="A113" s="73" t="s">
        <v>78</v>
      </c>
      <c r="B113" s="51">
        <v>200</v>
      </c>
      <c r="C113" s="7"/>
      <c r="D113" s="7"/>
      <c r="E113" s="52">
        <f t="shared" si="28"/>
        <v>200</v>
      </c>
      <c r="F113" s="51"/>
      <c r="G113" s="7"/>
      <c r="H113" s="52">
        <f t="shared" si="29"/>
        <v>200</v>
      </c>
      <c r="I113" s="51"/>
      <c r="J113" s="7"/>
      <c r="K113" s="52">
        <f t="shared" si="30"/>
        <v>200</v>
      </c>
      <c r="L113" s="51"/>
      <c r="M113" s="7"/>
      <c r="N113" s="165">
        <f t="shared" si="31"/>
        <v>200</v>
      </c>
    </row>
    <row r="114" spans="1:14" ht="12.75">
      <c r="A114" s="73" t="s">
        <v>72</v>
      </c>
      <c r="B114" s="51">
        <v>35864</v>
      </c>
      <c r="C114" s="7"/>
      <c r="D114" s="7"/>
      <c r="E114" s="52">
        <f t="shared" si="28"/>
        <v>35864</v>
      </c>
      <c r="F114" s="51">
        <v>450</v>
      </c>
      <c r="G114" s="7"/>
      <c r="H114" s="52">
        <f t="shared" si="29"/>
        <v>36314</v>
      </c>
      <c r="I114" s="51"/>
      <c r="J114" s="7"/>
      <c r="K114" s="52">
        <f t="shared" si="30"/>
        <v>36314</v>
      </c>
      <c r="L114" s="51"/>
      <c r="M114" s="7"/>
      <c r="N114" s="165">
        <f t="shared" si="31"/>
        <v>36314</v>
      </c>
    </row>
    <row r="115" spans="1:14" ht="12.75">
      <c r="A115" s="73" t="s">
        <v>79</v>
      </c>
      <c r="B115" s="51">
        <v>152</v>
      </c>
      <c r="C115" s="7"/>
      <c r="D115" s="7"/>
      <c r="E115" s="52">
        <f t="shared" si="28"/>
        <v>152</v>
      </c>
      <c r="F115" s="51"/>
      <c r="G115" s="7"/>
      <c r="H115" s="52">
        <f t="shared" si="29"/>
        <v>152</v>
      </c>
      <c r="I115" s="51"/>
      <c r="J115" s="7"/>
      <c r="K115" s="52">
        <f t="shared" si="30"/>
        <v>152</v>
      </c>
      <c r="L115" s="51"/>
      <c r="M115" s="7"/>
      <c r="N115" s="165">
        <f t="shared" si="31"/>
        <v>152</v>
      </c>
    </row>
    <row r="116" spans="1:14" ht="12.75">
      <c r="A116" s="73" t="s">
        <v>80</v>
      </c>
      <c r="B116" s="51">
        <v>40</v>
      </c>
      <c r="C116" s="7"/>
      <c r="D116" s="7"/>
      <c r="E116" s="52">
        <f t="shared" si="28"/>
        <v>40</v>
      </c>
      <c r="F116" s="51"/>
      <c r="G116" s="7"/>
      <c r="H116" s="52">
        <f t="shared" si="29"/>
        <v>40</v>
      </c>
      <c r="I116" s="51"/>
      <c r="J116" s="7"/>
      <c r="K116" s="52">
        <f t="shared" si="30"/>
        <v>40</v>
      </c>
      <c r="L116" s="51"/>
      <c r="M116" s="7"/>
      <c r="N116" s="165">
        <f t="shared" si="31"/>
        <v>40</v>
      </c>
    </row>
    <row r="117" spans="1:14" ht="12.75">
      <c r="A117" s="73" t="s">
        <v>81</v>
      </c>
      <c r="B117" s="51">
        <v>74842</v>
      </c>
      <c r="C117" s="7"/>
      <c r="D117" s="7"/>
      <c r="E117" s="52">
        <f t="shared" si="28"/>
        <v>74842</v>
      </c>
      <c r="F117" s="51"/>
      <c r="G117" s="7"/>
      <c r="H117" s="52">
        <f t="shared" si="29"/>
        <v>74842</v>
      </c>
      <c r="I117" s="51"/>
      <c r="J117" s="7"/>
      <c r="K117" s="52">
        <f t="shared" si="30"/>
        <v>74842</v>
      </c>
      <c r="L117" s="51"/>
      <c r="M117" s="7"/>
      <c r="N117" s="165">
        <f t="shared" si="31"/>
        <v>74842</v>
      </c>
    </row>
    <row r="118" spans="1:14" ht="12.75">
      <c r="A118" s="73" t="s">
        <v>107</v>
      </c>
      <c r="B118" s="51">
        <v>3023.2</v>
      </c>
      <c r="C118" s="7">
        <f>1079.5+74.8-1145.5</f>
        <v>8.799999999999955</v>
      </c>
      <c r="D118" s="7"/>
      <c r="E118" s="52">
        <f t="shared" si="28"/>
        <v>3032</v>
      </c>
      <c r="F118" s="51"/>
      <c r="G118" s="7"/>
      <c r="H118" s="52">
        <f t="shared" si="29"/>
        <v>3032</v>
      </c>
      <c r="I118" s="51">
        <v>1300</v>
      </c>
      <c r="J118" s="7">
        <v>-250</v>
      </c>
      <c r="K118" s="52">
        <f t="shared" si="30"/>
        <v>4082</v>
      </c>
      <c r="L118" s="51"/>
      <c r="M118" s="7"/>
      <c r="N118" s="165">
        <f t="shared" si="31"/>
        <v>4082</v>
      </c>
    </row>
    <row r="119" spans="1:14" ht="12.75">
      <c r="A119" s="73" t="s">
        <v>241</v>
      </c>
      <c r="B119" s="51"/>
      <c r="C119" s="7">
        <v>0.3</v>
      </c>
      <c r="D119" s="7"/>
      <c r="E119" s="52">
        <f t="shared" si="28"/>
        <v>0.3</v>
      </c>
      <c r="F119" s="51"/>
      <c r="G119" s="7"/>
      <c r="H119" s="52">
        <f t="shared" si="29"/>
        <v>0.3</v>
      </c>
      <c r="I119" s="51"/>
      <c r="J119" s="7"/>
      <c r="K119" s="52">
        <f t="shared" si="30"/>
        <v>0.3</v>
      </c>
      <c r="L119" s="51"/>
      <c r="M119" s="7"/>
      <c r="N119" s="165">
        <f t="shared" si="31"/>
        <v>0.3</v>
      </c>
    </row>
    <row r="120" spans="1:14" ht="12.75">
      <c r="A120" s="73" t="s">
        <v>238</v>
      </c>
      <c r="B120" s="51"/>
      <c r="C120" s="7">
        <v>7.7</v>
      </c>
      <c r="D120" s="7"/>
      <c r="E120" s="52">
        <f t="shared" si="28"/>
        <v>7.7</v>
      </c>
      <c r="F120" s="51">
        <v>137.5</v>
      </c>
      <c r="G120" s="7"/>
      <c r="H120" s="52">
        <f t="shared" si="29"/>
        <v>145.2</v>
      </c>
      <c r="I120" s="51"/>
      <c r="J120" s="7"/>
      <c r="K120" s="52">
        <f t="shared" si="30"/>
        <v>145.2</v>
      </c>
      <c r="L120" s="51">
        <v>597</v>
      </c>
      <c r="M120" s="7"/>
      <c r="N120" s="165">
        <f t="shared" si="31"/>
        <v>742.2</v>
      </c>
    </row>
    <row r="121" spans="1:14" ht="12.75">
      <c r="A121" s="82" t="s">
        <v>242</v>
      </c>
      <c r="B121" s="51"/>
      <c r="C121" s="7">
        <v>1949.2</v>
      </c>
      <c r="D121" s="7"/>
      <c r="E121" s="52">
        <f t="shared" si="28"/>
        <v>1949.2</v>
      </c>
      <c r="F121" s="51"/>
      <c r="G121" s="7"/>
      <c r="H121" s="52">
        <f t="shared" si="29"/>
        <v>1949.2</v>
      </c>
      <c r="I121" s="51"/>
      <c r="J121" s="7"/>
      <c r="K121" s="52">
        <f t="shared" si="30"/>
        <v>1949.2</v>
      </c>
      <c r="L121" s="51"/>
      <c r="M121" s="7"/>
      <c r="N121" s="165">
        <f t="shared" si="31"/>
        <v>1949.2</v>
      </c>
    </row>
    <row r="122" spans="1:14" ht="12.75">
      <c r="A122" s="82" t="s">
        <v>307</v>
      </c>
      <c r="B122" s="51"/>
      <c r="C122" s="7"/>
      <c r="D122" s="7"/>
      <c r="E122" s="52"/>
      <c r="F122" s="51"/>
      <c r="G122" s="7"/>
      <c r="H122" s="52">
        <f t="shared" si="29"/>
        <v>0</v>
      </c>
      <c r="I122" s="51">
        <v>2223.9</v>
      </c>
      <c r="J122" s="7"/>
      <c r="K122" s="52">
        <f t="shared" si="30"/>
        <v>2223.9</v>
      </c>
      <c r="L122" s="51"/>
      <c r="M122" s="7"/>
      <c r="N122" s="165">
        <f t="shared" si="31"/>
        <v>2223.9</v>
      </c>
    </row>
    <row r="123" spans="1:14" ht="12.75" hidden="1">
      <c r="A123" s="73" t="s">
        <v>82</v>
      </c>
      <c r="B123" s="51"/>
      <c r="C123" s="7"/>
      <c r="D123" s="7"/>
      <c r="E123" s="52">
        <f t="shared" si="28"/>
        <v>0</v>
      </c>
      <c r="F123" s="51"/>
      <c r="G123" s="7"/>
      <c r="H123" s="52">
        <f t="shared" si="29"/>
        <v>0</v>
      </c>
      <c r="I123" s="51"/>
      <c r="J123" s="7"/>
      <c r="K123" s="52">
        <f t="shared" si="30"/>
        <v>0</v>
      </c>
      <c r="L123" s="51"/>
      <c r="M123" s="7"/>
      <c r="N123" s="165">
        <f t="shared" si="31"/>
        <v>0</v>
      </c>
    </row>
    <row r="124" spans="1:14" ht="12.75" hidden="1">
      <c r="A124" s="73" t="s">
        <v>83</v>
      </c>
      <c r="B124" s="51"/>
      <c r="C124" s="7"/>
      <c r="D124" s="7"/>
      <c r="E124" s="52">
        <f t="shared" si="28"/>
        <v>0</v>
      </c>
      <c r="F124" s="51"/>
      <c r="G124" s="7"/>
      <c r="H124" s="52">
        <f t="shared" si="29"/>
        <v>0</v>
      </c>
      <c r="I124" s="51"/>
      <c r="J124" s="7"/>
      <c r="K124" s="52">
        <f t="shared" si="30"/>
        <v>0</v>
      </c>
      <c r="L124" s="51"/>
      <c r="M124" s="7"/>
      <c r="N124" s="165">
        <f t="shared" si="31"/>
        <v>0</v>
      </c>
    </row>
    <row r="125" spans="1:14" ht="12.75">
      <c r="A125" s="73" t="s">
        <v>268</v>
      </c>
      <c r="B125" s="51"/>
      <c r="C125" s="7"/>
      <c r="D125" s="7"/>
      <c r="E125" s="52">
        <f t="shared" si="28"/>
        <v>0</v>
      </c>
      <c r="F125" s="51">
        <v>156.7</v>
      </c>
      <c r="G125" s="7"/>
      <c r="H125" s="52">
        <f t="shared" si="29"/>
        <v>156.7</v>
      </c>
      <c r="I125" s="51"/>
      <c r="J125" s="7"/>
      <c r="K125" s="52">
        <f t="shared" si="30"/>
        <v>156.7</v>
      </c>
      <c r="L125" s="51"/>
      <c r="M125" s="7"/>
      <c r="N125" s="165">
        <f t="shared" si="31"/>
        <v>156.7</v>
      </c>
    </row>
    <row r="126" spans="1:14" ht="12.75">
      <c r="A126" s="73" t="s">
        <v>84</v>
      </c>
      <c r="B126" s="51"/>
      <c r="C126" s="7">
        <v>30</v>
      </c>
      <c r="D126" s="7"/>
      <c r="E126" s="52">
        <f t="shared" si="28"/>
        <v>30</v>
      </c>
      <c r="F126" s="51">
        <v>30</v>
      </c>
      <c r="G126" s="7"/>
      <c r="H126" s="52">
        <f t="shared" si="29"/>
        <v>60</v>
      </c>
      <c r="I126" s="51"/>
      <c r="J126" s="7"/>
      <c r="K126" s="52">
        <f t="shared" si="30"/>
        <v>60</v>
      </c>
      <c r="L126" s="51">
        <v>30</v>
      </c>
      <c r="M126" s="7"/>
      <c r="N126" s="165">
        <f t="shared" si="31"/>
        <v>90</v>
      </c>
    </row>
    <row r="127" spans="1:14" ht="12.75" hidden="1">
      <c r="A127" s="73" t="s">
        <v>85</v>
      </c>
      <c r="B127" s="51"/>
      <c r="C127" s="7"/>
      <c r="D127" s="7"/>
      <c r="E127" s="52">
        <f t="shared" si="28"/>
        <v>0</v>
      </c>
      <c r="F127" s="51"/>
      <c r="G127" s="7"/>
      <c r="H127" s="52">
        <f t="shared" si="29"/>
        <v>0</v>
      </c>
      <c r="I127" s="51"/>
      <c r="J127" s="7"/>
      <c r="K127" s="52">
        <f t="shared" si="30"/>
        <v>0</v>
      </c>
      <c r="L127" s="51"/>
      <c r="M127" s="7"/>
      <c r="N127" s="165">
        <f t="shared" si="31"/>
        <v>0</v>
      </c>
    </row>
    <row r="128" spans="1:14" ht="12.75">
      <c r="A128" s="73" t="s">
        <v>86</v>
      </c>
      <c r="B128" s="51"/>
      <c r="C128" s="7"/>
      <c r="D128" s="7"/>
      <c r="E128" s="52">
        <f t="shared" si="28"/>
        <v>0</v>
      </c>
      <c r="F128" s="51"/>
      <c r="G128" s="7"/>
      <c r="H128" s="52">
        <f t="shared" si="29"/>
        <v>0</v>
      </c>
      <c r="I128" s="51">
        <v>250</v>
      </c>
      <c r="J128" s="7"/>
      <c r="K128" s="52">
        <f t="shared" si="30"/>
        <v>250</v>
      </c>
      <c r="L128" s="51"/>
      <c r="M128" s="7"/>
      <c r="N128" s="165">
        <f t="shared" si="31"/>
        <v>250</v>
      </c>
    </row>
    <row r="129" spans="1:14" ht="12.75">
      <c r="A129" s="79" t="s">
        <v>75</v>
      </c>
      <c r="B129" s="59">
        <f>B132+B131</f>
        <v>3006.8</v>
      </c>
      <c r="C129" s="12">
        <f aca="true" t="shared" si="32" ref="C129:J129">C132</f>
        <v>0</v>
      </c>
      <c r="D129" s="12">
        <f t="shared" si="32"/>
        <v>0</v>
      </c>
      <c r="E129" s="60">
        <f t="shared" si="32"/>
        <v>3006.8</v>
      </c>
      <c r="F129" s="59">
        <f t="shared" si="32"/>
        <v>0</v>
      </c>
      <c r="G129" s="12">
        <f t="shared" si="32"/>
        <v>0</v>
      </c>
      <c r="H129" s="60">
        <f>H132+H131</f>
        <v>3006.8</v>
      </c>
      <c r="I129" s="59">
        <f>I132+I131</f>
        <v>332</v>
      </c>
      <c r="J129" s="12">
        <f t="shared" si="32"/>
        <v>-3006.8</v>
      </c>
      <c r="K129" s="60">
        <f>K132+K131</f>
        <v>332</v>
      </c>
      <c r="L129" s="59">
        <f>L132+L131</f>
        <v>0</v>
      </c>
      <c r="M129" s="12">
        <f>M132+M131</f>
        <v>0</v>
      </c>
      <c r="N129" s="150">
        <f>N132+N131</f>
        <v>332</v>
      </c>
    </row>
    <row r="130" spans="1:14" ht="12.75">
      <c r="A130" s="75" t="s">
        <v>38</v>
      </c>
      <c r="B130" s="51"/>
      <c r="C130" s="7"/>
      <c r="D130" s="7"/>
      <c r="E130" s="50"/>
      <c r="F130" s="51"/>
      <c r="G130" s="7"/>
      <c r="H130" s="50"/>
      <c r="I130" s="51"/>
      <c r="J130" s="7"/>
      <c r="K130" s="50"/>
      <c r="L130" s="51"/>
      <c r="M130" s="7"/>
      <c r="N130" s="149"/>
    </row>
    <row r="131" spans="1:14" ht="12.75">
      <c r="A131" s="72" t="s">
        <v>76</v>
      </c>
      <c r="B131" s="51"/>
      <c r="C131" s="7"/>
      <c r="D131" s="7"/>
      <c r="E131" s="50"/>
      <c r="F131" s="51"/>
      <c r="G131" s="7"/>
      <c r="H131" s="52">
        <f>E131+F131+G131</f>
        <v>0</v>
      </c>
      <c r="I131" s="51">
        <v>332</v>
      </c>
      <c r="J131" s="7"/>
      <c r="K131" s="52">
        <f>H131+I131+J131</f>
        <v>332</v>
      </c>
      <c r="L131" s="51"/>
      <c r="M131" s="7"/>
      <c r="N131" s="165">
        <f>K131+L131+M131</f>
        <v>332</v>
      </c>
    </row>
    <row r="132" spans="1:14" ht="12.75">
      <c r="A132" s="76" t="s">
        <v>108</v>
      </c>
      <c r="B132" s="55">
        <v>3006.8</v>
      </c>
      <c r="C132" s="10"/>
      <c r="D132" s="10"/>
      <c r="E132" s="56">
        <f>B132+C132+D132</f>
        <v>3006.8</v>
      </c>
      <c r="F132" s="55"/>
      <c r="G132" s="10"/>
      <c r="H132" s="56">
        <f>E132+F132+G132</f>
        <v>3006.8</v>
      </c>
      <c r="I132" s="55"/>
      <c r="J132" s="10">
        <v>-3006.8</v>
      </c>
      <c r="K132" s="56">
        <f>H132+I132+J132</f>
        <v>0</v>
      </c>
      <c r="L132" s="55"/>
      <c r="M132" s="10"/>
      <c r="N132" s="164">
        <f>K132+L132+M132</f>
        <v>0</v>
      </c>
    </row>
    <row r="133" spans="1:14" ht="12.75">
      <c r="A133" s="70" t="s">
        <v>87</v>
      </c>
      <c r="B133" s="49">
        <f aca="true" t="shared" si="33" ref="B133:N133">B134+B144</f>
        <v>127106.4</v>
      </c>
      <c r="C133" s="6">
        <f t="shared" si="33"/>
        <v>35458.7</v>
      </c>
      <c r="D133" s="6">
        <f t="shared" si="33"/>
        <v>150</v>
      </c>
      <c r="E133" s="50">
        <f t="shared" si="33"/>
        <v>162715.1</v>
      </c>
      <c r="F133" s="49">
        <f t="shared" si="33"/>
        <v>2211.2</v>
      </c>
      <c r="G133" s="6">
        <f t="shared" si="33"/>
        <v>20925.800000000003</v>
      </c>
      <c r="H133" s="50">
        <f t="shared" si="33"/>
        <v>185852.09999999998</v>
      </c>
      <c r="I133" s="49">
        <f t="shared" si="33"/>
        <v>1671</v>
      </c>
      <c r="J133" s="6">
        <f t="shared" si="33"/>
        <v>-3024.3999999999996</v>
      </c>
      <c r="K133" s="50">
        <f t="shared" si="33"/>
        <v>184498.69999999995</v>
      </c>
      <c r="L133" s="49">
        <f t="shared" si="33"/>
        <v>0</v>
      </c>
      <c r="M133" s="6">
        <f t="shared" si="33"/>
        <v>0</v>
      </c>
      <c r="N133" s="149">
        <f t="shared" si="33"/>
        <v>184498.69999999995</v>
      </c>
    </row>
    <row r="134" spans="1:14" ht="12.75">
      <c r="A134" s="79" t="s">
        <v>69</v>
      </c>
      <c r="B134" s="59">
        <f>SUM(B136:B142)</f>
        <v>82106.4</v>
      </c>
      <c r="C134" s="12">
        <f aca="true" t="shared" si="34" ref="C134:N134">SUM(C136:C142)</f>
        <v>5458.700000000001</v>
      </c>
      <c r="D134" s="12">
        <f t="shared" si="34"/>
        <v>150</v>
      </c>
      <c r="E134" s="60">
        <f t="shared" si="34"/>
        <v>87715.1</v>
      </c>
      <c r="F134" s="59">
        <f t="shared" si="34"/>
        <v>187</v>
      </c>
      <c r="G134" s="12">
        <f t="shared" si="34"/>
        <v>-8691.1</v>
      </c>
      <c r="H134" s="60">
        <f t="shared" si="34"/>
        <v>79211</v>
      </c>
      <c r="I134" s="59">
        <f t="shared" si="34"/>
        <v>213.3</v>
      </c>
      <c r="J134" s="12">
        <f t="shared" si="34"/>
        <v>-3375.7</v>
      </c>
      <c r="K134" s="60">
        <f t="shared" si="34"/>
        <v>76048.59999999998</v>
      </c>
      <c r="L134" s="59">
        <f t="shared" si="34"/>
        <v>0</v>
      </c>
      <c r="M134" s="12">
        <f t="shared" si="34"/>
        <v>0</v>
      </c>
      <c r="N134" s="150">
        <f t="shared" si="34"/>
        <v>76048.59999999998</v>
      </c>
    </row>
    <row r="135" spans="1:14" ht="12.75">
      <c r="A135" s="75" t="s">
        <v>38</v>
      </c>
      <c r="B135" s="51"/>
      <c r="C135" s="7"/>
      <c r="D135" s="7"/>
      <c r="E135" s="50"/>
      <c r="F135" s="51"/>
      <c r="G135" s="7"/>
      <c r="H135" s="50"/>
      <c r="I135" s="51"/>
      <c r="J135" s="7"/>
      <c r="K135" s="50"/>
      <c r="L135" s="51"/>
      <c r="M135" s="7"/>
      <c r="N135" s="149"/>
    </row>
    <row r="136" spans="1:14" ht="12" customHeight="1">
      <c r="A136" s="77" t="s">
        <v>88</v>
      </c>
      <c r="B136" s="63">
        <v>43152.4</v>
      </c>
      <c r="C136" s="14"/>
      <c r="D136" s="14"/>
      <c r="E136" s="52">
        <f>B136+C136+D136</f>
        <v>43152.4</v>
      </c>
      <c r="F136" s="63"/>
      <c r="G136" s="14"/>
      <c r="H136" s="52">
        <f>E136+F136+G136</f>
        <v>43152.4</v>
      </c>
      <c r="I136" s="63"/>
      <c r="J136" s="14"/>
      <c r="K136" s="52">
        <f>H136+I136+J136</f>
        <v>43152.4</v>
      </c>
      <c r="L136" s="51"/>
      <c r="M136" s="7"/>
      <c r="N136" s="165">
        <f>K136+L136+M136</f>
        <v>43152.4</v>
      </c>
    </row>
    <row r="137" spans="1:14" ht="12.75">
      <c r="A137" s="73" t="s">
        <v>72</v>
      </c>
      <c r="B137" s="51">
        <v>29705</v>
      </c>
      <c r="C137" s="7"/>
      <c r="D137" s="7">
        <v>150</v>
      </c>
      <c r="E137" s="52">
        <f aca="true" t="shared" si="35" ref="E137:E143">B137+C137+D137</f>
        <v>29855</v>
      </c>
      <c r="F137" s="51"/>
      <c r="G137" s="7">
        <v>-2000</v>
      </c>
      <c r="H137" s="52">
        <f aca="true" t="shared" si="36" ref="H137:H143">E137+F137+G137</f>
        <v>27855</v>
      </c>
      <c r="I137" s="51"/>
      <c r="J137" s="7">
        <v>-2645.4</v>
      </c>
      <c r="K137" s="52">
        <f aca="true" t="shared" si="37" ref="K137:K143">H137+I137+J137</f>
        <v>25209.6</v>
      </c>
      <c r="L137" s="51"/>
      <c r="M137" s="7"/>
      <c r="N137" s="165">
        <f aca="true" t="shared" si="38" ref="N137:N143">K137+L137+M137</f>
        <v>25209.6</v>
      </c>
    </row>
    <row r="138" spans="1:14" ht="12.75">
      <c r="A138" s="73" t="s">
        <v>89</v>
      </c>
      <c r="B138" s="51"/>
      <c r="C138" s="7"/>
      <c r="D138" s="7"/>
      <c r="E138" s="52">
        <f t="shared" si="35"/>
        <v>0</v>
      </c>
      <c r="F138" s="51"/>
      <c r="G138" s="7"/>
      <c r="H138" s="52">
        <f t="shared" si="36"/>
        <v>0</v>
      </c>
      <c r="I138" s="51"/>
      <c r="J138" s="7">
        <v>2645.4</v>
      </c>
      <c r="K138" s="52">
        <f t="shared" si="37"/>
        <v>2645.4</v>
      </c>
      <c r="L138" s="51"/>
      <c r="M138" s="7"/>
      <c r="N138" s="165">
        <f t="shared" si="38"/>
        <v>2645.4</v>
      </c>
    </row>
    <row r="139" spans="1:14" ht="12.75">
      <c r="A139" s="73" t="s">
        <v>91</v>
      </c>
      <c r="B139" s="51"/>
      <c r="C139" s="7">
        <v>16.6</v>
      </c>
      <c r="D139" s="7"/>
      <c r="E139" s="52">
        <f t="shared" si="35"/>
        <v>16.6</v>
      </c>
      <c r="F139" s="51">
        <f>163.9+23.1</f>
        <v>187</v>
      </c>
      <c r="G139" s="7"/>
      <c r="H139" s="52">
        <f t="shared" si="36"/>
        <v>203.6</v>
      </c>
      <c r="I139" s="51">
        <f>96.4+98.2+18.7</f>
        <v>213.3</v>
      </c>
      <c r="J139" s="7"/>
      <c r="K139" s="52">
        <f t="shared" si="37"/>
        <v>416.9</v>
      </c>
      <c r="L139" s="51"/>
      <c r="M139" s="7"/>
      <c r="N139" s="165">
        <f t="shared" si="38"/>
        <v>416.9</v>
      </c>
    </row>
    <row r="140" spans="1:14" ht="12.75">
      <c r="A140" s="73" t="s">
        <v>107</v>
      </c>
      <c r="B140" s="51">
        <v>9249</v>
      </c>
      <c r="C140" s="7">
        <f>3442.1+2000</f>
        <v>5442.1</v>
      </c>
      <c r="D140" s="7"/>
      <c r="E140" s="52">
        <f t="shared" si="35"/>
        <v>14691.1</v>
      </c>
      <c r="F140" s="51"/>
      <c r="G140" s="7">
        <v>-6691.1</v>
      </c>
      <c r="H140" s="52">
        <f t="shared" si="36"/>
        <v>8000</v>
      </c>
      <c r="I140" s="51"/>
      <c r="J140" s="7">
        <v>-3499.6</v>
      </c>
      <c r="K140" s="52">
        <f t="shared" si="37"/>
        <v>4500.4</v>
      </c>
      <c r="L140" s="51"/>
      <c r="M140" s="7"/>
      <c r="N140" s="165">
        <f t="shared" si="38"/>
        <v>4500.4</v>
      </c>
    </row>
    <row r="141" spans="1:14" ht="12.75" hidden="1">
      <c r="A141" s="73" t="s">
        <v>93</v>
      </c>
      <c r="B141" s="51"/>
      <c r="C141" s="7"/>
      <c r="D141" s="7"/>
      <c r="E141" s="52">
        <f t="shared" si="35"/>
        <v>0</v>
      </c>
      <c r="F141" s="51"/>
      <c r="G141" s="7"/>
      <c r="H141" s="52">
        <f t="shared" si="36"/>
        <v>0</v>
      </c>
      <c r="I141" s="51"/>
      <c r="J141" s="7"/>
      <c r="K141" s="52">
        <f t="shared" si="37"/>
        <v>0</v>
      </c>
      <c r="L141" s="51"/>
      <c r="M141" s="7"/>
      <c r="N141" s="165">
        <f t="shared" si="38"/>
        <v>0</v>
      </c>
    </row>
    <row r="142" spans="1:14" ht="12.75">
      <c r="A142" s="72" t="s">
        <v>94</v>
      </c>
      <c r="B142" s="51"/>
      <c r="C142" s="7"/>
      <c r="D142" s="7"/>
      <c r="E142" s="52">
        <f t="shared" si="35"/>
        <v>0</v>
      </c>
      <c r="F142" s="51"/>
      <c r="G142" s="7"/>
      <c r="H142" s="52">
        <f t="shared" si="36"/>
        <v>0</v>
      </c>
      <c r="I142" s="51"/>
      <c r="J142" s="7">
        <v>123.9</v>
      </c>
      <c r="K142" s="52">
        <f t="shared" si="37"/>
        <v>123.9</v>
      </c>
      <c r="L142" s="51"/>
      <c r="M142" s="7"/>
      <c r="N142" s="165">
        <f t="shared" si="38"/>
        <v>123.9</v>
      </c>
    </row>
    <row r="143" spans="1:14" ht="12.75">
      <c r="A143" s="72" t="s">
        <v>95</v>
      </c>
      <c r="B143" s="51"/>
      <c r="C143" s="7"/>
      <c r="D143" s="7"/>
      <c r="E143" s="52">
        <f t="shared" si="35"/>
        <v>0</v>
      </c>
      <c r="F143" s="51"/>
      <c r="G143" s="7"/>
      <c r="H143" s="52">
        <f t="shared" si="36"/>
        <v>0</v>
      </c>
      <c r="I143" s="51"/>
      <c r="J143" s="7">
        <v>123.9</v>
      </c>
      <c r="K143" s="52">
        <f t="shared" si="37"/>
        <v>123.9</v>
      </c>
      <c r="L143" s="51"/>
      <c r="M143" s="7"/>
      <c r="N143" s="165">
        <f t="shared" si="38"/>
        <v>123.9</v>
      </c>
    </row>
    <row r="144" spans="1:14" ht="12.75">
      <c r="A144" s="80" t="s">
        <v>75</v>
      </c>
      <c r="B144" s="61">
        <f aca="true" t="shared" si="39" ref="B144:N144">SUM(B146:B150)</f>
        <v>45000</v>
      </c>
      <c r="C144" s="13">
        <f t="shared" si="39"/>
        <v>30000</v>
      </c>
      <c r="D144" s="13">
        <f t="shared" si="39"/>
        <v>0</v>
      </c>
      <c r="E144" s="62">
        <f t="shared" si="39"/>
        <v>75000</v>
      </c>
      <c r="F144" s="61">
        <f t="shared" si="39"/>
        <v>2024.2</v>
      </c>
      <c r="G144" s="13">
        <f t="shared" si="39"/>
        <v>29616.9</v>
      </c>
      <c r="H144" s="62">
        <f t="shared" si="39"/>
        <v>106641.09999999999</v>
      </c>
      <c r="I144" s="61">
        <f t="shared" si="39"/>
        <v>1457.7</v>
      </c>
      <c r="J144" s="13">
        <f t="shared" si="39"/>
        <v>351.29999999999995</v>
      </c>
      <c r="K144" s="62">
        <f t="shared" si="39"/>
        <v>108450.09999999999</v>
      </c>
      <c r="L144" s="61">
        <f t="shared" si="39"/>
        <v>0</v>
      </c>
      <c r="M144" s="13">
        <f t="shared" si="39"/>
        <v>0</v>
      </c>
      <c r="N144" s="171">
        <f t="shared" si="39"/>
        <v>108450.09999999999</v>
      </c>
    </row>
    <row r="145" spans="1:14" ht="12.75">
      <c r="A145" s="71" t="s">
        <v>38</v>
      </c>
      <c r="B145" s="53"/>
      <c r="C145" s="8"/>
      <c r="D145" s="8"/>
      <c r="E145" s="54"/>
      <c r="F145" s="53"/>
      <c r="G145" s="8"/>
      <c r="H145" s="54"/>
      <c r="I145" s="53"/>
      <c r="J145" s="8"/>
      <c r="K145" s="54"/>
      <c r="L145" s="53"/>
      <c r="M145" s="8"/>
      <c r="N145" s="66"/>
    </row>
    <row r="146" spans="1:14" ht="12.75">
      <c r="A146" s="72" t="s">
        <v>96</v>
      </c>
      <c r="B146" s="51"/>
      <c r="C146" s="7">
        <v>30000</v>
      </c>
      <c r="D146" s="7"/>
      <c r="E146" s="52">
        <f aca="true" t="shared" si="40" ref="E146:E151">B146+C146+D146</f>
        <v>30000</v>
      </c>
      <c r="F146" s="51">
        <v>2024.2</v>
      </c>
      <c r="G146" s="7">
        <v>2000</v>
      </c>
      <c r="H146" s="52">
        <f aca="true" t="shared" si="41" ref="H146:H151">E146+F146+G146</f>
        <v>34024.2</v>
      </c>
      <c r="I146" s="51">
        <f>1000</f>
        <v>1000</v>
      </c>
      <c r="J146" s="7"/>
      <c r="K146" s="52">
        <f aca="true" t="shared" si="42" ref="K146:K151">H146+I146+J146</f>
        <v>35024.2</v>
      </c>
      <c r="L146" s="51"/>
      <c r="M146" s="7"/>
      <c r="N146" s="165">
        <f aca="true" t="shared" si="43" ref="N146:N151">K146+L146+M146</f>
        <v>35024.2</v>
      </c>
    </row>
    <row r="147" spans="1:14" ht="12.75" hidden="1">
      <c r="A147" s="72" t="s">
        <v>76</v>
      </c>
      <c r="B147" s="51"/>
      <c r="C147" s="7"/>
      <c r="D147" s="7"/>
      <c r="E147" s="52">
        <f t="shared" si="40"/>
        <v>0</v>
      </c>
      <c r="F147" s="51"/>
      <c r="G147" s="7"/>
      <c r="H147" s="52">
        <f t="shared" si="41"/>
        <v>0</v>
      </c>
      <c r="I147" s="51"/>
      <c r="J147" s="7"/>
      <c r="K147" s="52">
        <f t="shared" si="42"/>
        <v>0</v>
      </c>
      <c r="L147" s="51"/>
      <c r="M147" s="7"/>
      <c r="N147" s="165">
        <f t="shared" si="43"/>
        <v>0</v>
      </c>
    </row>
    <row r="148" spans="1:14" ht="12.75">
      <c r="A148" s="73" t="s">
        <v>107</v>
      </c>
      <c r="B148" s="51"/>
      <c r="C148" s="7"/>
      <c r="D148" s="7"/>
      <c r="E148" s="52">
        <f t="shared" si="40"/>
        <v>0</v>
      </c>
      <c r="F148" s="51"/>
      <c r="G148" s="7"/>
      <c r="H148" s="52">
        <f t="shared" si="41"/>
        <v>0</v>
      </c>
      <c r="I148" s="51"/>
      <c r="J148" s="7">
        <v>475.2</v>
      </c>
      <c r="K148" s="52">
        <f t="shared" si="42"/>
        <v>475.2</v>
      </c>
      <c r="L148" s="51"/>
      <c r="M148" s="7"/>
      <c r="N148" s="165">
        <f t="shared" si="43"/>
        <v>475.2</v>
      </c>
    </row>
    <row r="149" spans="1:14" ht="12.75" hidden="1">
      <c r="A149" s="73" t="s">
        <v>93</v>
      </c>
      <c r="B149" s="51"/>
      <c r="C149" s="7"/>
      <c r="D149" s="7"/>
      <c r="E149" s="52">
        <f t="shared" si="40"/>
        <v>0</v>
      </c>
      <c r="F149" s="51"/>
      <c r="G149" s="7"/>
      <c r="H149" s="52">
        <f t="shared" si="41"/>
        <v>0</v>
      </c>
      <c r="I149" s="51"/>
      <c r="J149" s="7"/>
      <c r="K149" s="52">
        <f t="shared" si="42"/>
        <v>0</v>
      </c>
      <c r="L149" s="51"/>
      <c r="M149" s="7"/>
      <c r="N149" s="165">
        <f t="shared" si="43"/>
        <v>0</v>
      </c>
    </row>
    <row r="150" spans="1:14" ht="12.75">
      <c r="A150" s="72" t="s">
        <v>94</v>
      </c>
      <c r="B150" s="51">
        <v>45000</v>
      </c>
      <c r="C150" s="7"/>
      <c r="D150" s="7"/>
      <c r="E150" s="52">
        <f t="shared" si="40"/>
        <v>45000</v>
      </c>
      <c r="F150" s="51"/>
      <c r="G150" s="7">
        <v>27616.9</v>
      </c>
      <c r="H150" s="52">
        <f t="shared" si="41"/>
        <v>72616.9</v>
      </c>
      <c r="I150" s="51">
        <v>457.7</v>
      </c>
      <c r="J150" s="7">
        <v>-123.9</v>
      </c>
      <c r="K150" s="52">
        <f t="shared" si="42"/>
        <v>72950.7</v>
      </c>
      <c r="L150" s="51"/>
      <c r="M150" s="7"/>
      <c r="N150" s="165">
        <f t="shared" si="43"/>
        <v>72950.7</v>
      </c>
    </row>
    <row r="151" spans="1:14" ht="12.75">
      <c r="A151" s="81" t="s">
        <v>97</v>
      </c>
      <c r="B151" s="55"/>
      <c r="C151" s="10"/>
      <c r="D151" s="10"/>
      <c r="E151" s="56">
        <f t="shared" si="40"/>
        <v>0</v>
      </c>
      <c r="F151" s="55"/>
      <c r="G151" s="10"/>
      <c r="H151" s="56">
        <f t="shared" si="41"/>
        <v>0</v>
      </c>
      <c r="I151" s="55"/>
      <c r="J151" s="10"/>
      <c r="K151" s="56">
        <f t="shared" si="42"/>
        <v>0</v>
      </c>
      <c r="L151" s="55">
        <f>12890</f>
        <v>12890</v>
      </c>
      <c r="M151" s="10"/>
      <c r="N151" s="164">
        <f t="shared" si="43"/>
        <v>12890</v>
      </c>
    </row>
    <row r="152" spans="1:14" ht="12.75">
      <c r="A152" s="74" t="s">
        <v>98</v>
      </c>
      <c r="B152" s="53">
        <f aca="true" t="shared" si="44" ref="B152:N152">B153+B159</f>
        <v>4589</v>
      </c>
      <c r="C152" s="8">
        <f t="shared" si="44"/>
        <v>3373</v>
      </c>
      <c r="D152" s="8">
        <f t="shared" si="44"/>
        <v>0</v>
      </c>
      <c r="E152" s="54">
        <f t="shared" si="44"/>
        <v>7962</v>
      </c>
      <c r="F152" s="53">
        <f t="shared" si="44"/>
        <v>0</v>
      </c>
      <c r="G152" s="8">
        <f t="shared" si="44"/>
        <v>0</v>
      </c>
      <c r="H152" s="54">
        <f t="shared" si="44"/>
        <v>7962</v>
      </c>
      <c r="I152" s="53">
        <f t="shared" si="44"/>
        <v>200</v>
      </c>
      <c r="J152" s="8">
        <f t="shared" si="44"/>
        <v>0</v>
      </c>
      <c r="K152" s="54">
        <f t="shared" si="44"/>
        <v>8162</v>
      </c>
      <c r="L152" s="53">
        <f t="shared" si="44"/>
        <v>3500</v>
      </c>
      <c r="M152" s="8">
        <f t="shared" si="44"/>
        <v>0</v>
      </c>
      <c r="N152" s="66">
        <f t="shared" si="44"/>
        <v>11662</v>
      </c>
    </row>
    <row r="153" spans="1:14" ht="12.75">
      <c r="A153" s="79" t="s">
        <v>69</v>
      </c>
      <c r="B153" s="59">
        <f>SUM(B155:B158)</f>
        <v>4589</v>
      </c>
      <c r="C153" s="12">
        <f aca="true" t="shared" si="45" ref="C153:N153">SUM(C155:C158)</f>
        <v>3373</v>
      </c>
      <c r="D153" s="12">
        <f t="shared" si="45"/>
        <v>0</v>
      </c>
      <c r="E153" s="60">
        <f t="shared" si="45"/>
        <v>7962</v>
      </c>
      <c r="F153" s="59">
        <f t="shared" si="45"/>
        <v>0</v>
      </c>
      <c r="G153" s="12">
        <f t="shared" si="45"/>
        <v>0</v>
      </c>
      <c r="H153" s="60">
        <f t="shared" si="45"/>
        <v>7962</v>
      </c>
      <c r="I153" s="59">
        <f t="shared" si="45"/>
        <v>200</v>
      </c>
      <c r="J153" s="12">
        <f t="shared" si="45"/>
        <v>0</v>
      </c>
      <c r="K153" s="60">
        <f t="shared" si="45"/>
        <v>8162</v>
      </c>
      <c r="L153" s="59">
        <f t="shared" si="45"/>
        <v>1500</v>
      </c>
      <c r="M153" s="12">
        <f t="shared" si="45"/>
        <v>0</v>
      </c>
      <c r="N153" s="150">
        <f t="shared" si="45"/>
        <v>9662</v>
      </c>
    </row>
    <row r="154" spans="1:14" ht="12.75">
      <c r="A154" s="75" t="s">
        <v>38</v>
      </c>
      <c r="B154" s="51"/>
      <c r="C154" s="7"/>
      <c r="D154" s="7"/>
      <c r="E154" s="50"/>
      <c r="F154" s="51"/>
      <c r="G154" s="7"/>
      <c r="H154" s="50"/>
      <c r="I154" s="51"/>
      <c r="J154" s="7"/>
      <c r="K154" s="50"/>
      <c r="L154" s="51"/>
      <c r="M154" s="7"/>
      <c r="N154" s="149"/>
    </row>
    <row r="155" spans="1:14" ht="12.75">
      <c r="A155" s="73" t="s">
        <v>72</v>
      </c>
      <c r="B155" s="51">
        <v>4589</v>
      </c>
      <c r="C155" s="7">
        <f>-1300+2000</f>
        <v>700</v>
      </c>
      <c r="D155" s="7"/>
      <c r="E155" s="52">
        <f>SUM(B155:D155)</f>
        <v>5289</v>
      </c>
      <c r="F155" s="51"/>
      <c r="G155" s="7"/>
      <c r="H155" s="52">
        <f>SUM(E155:G155)</f>
        <v>5289</v>
      </c>
      <c r="I155" s="51">
        <v>200</v>
      </c>
      <c r="J155" s="7"/>
      <c r="K155" s="52">
        <f>H155+I155+J155</f>
        <v>5489</v>
      </c>
      <c r="L155" s="51">
        <v>1500</v>
      </c>
      <c r="M155" s="7"/>
      <c r="N155" s="165">
        <f>K155+L155+M155</f>
        <v>6989</v>
      </c>
    </row>
    <row r="156" spans="1:14" ht="12.75">
      <c r="A156" s="77" t="s">
        <v>99</v>
      </c>
      <c r="B156" s="51"/>
      <c r="C156" s="7">
        <v>1373</v>
      </c>
      <c r="D156" s="7"/>
      <c r="E156" s="52">
        <f>SUM(B156:D156)</f>
        <v>1373</v>
      </c>
      <c r="F156" s="51"/>
      <c r="G156" s="7"/>
      <c r="H156" s="52">
        <f>SUM(E156:G156)</f>
        <v>1373</v>
      </c>
      <c r="I156" s="51"/>
      <c r="J156" s="7"/>
      <c r="K156" s="52">
        <f>H156+I156+J156</f>
        <v>1373</v>
      </c>
      <c r="L156" s="51"/>
      <c r="M156" s="7"/>
      <c r="N156" s="165">
        <f>K156+L156+M156</f>
        <v>1373</v>
      </c>
    </row>
    <row r="157" spans="1:14" ht="12.75">
      <c r="A157" s="77" t="s">
        <v>89</v>
      </c>
      <c r="B157" s="51"/>
      <c r="C157" s="7">
        <v>1300</v>
      </c>
      <c r="D157" s="7"/>
      <c r="E157" s="52">
        <f>SUM(B157:D157)</f>
        <v>1300</v>
      </c>
      <c r="F157" s="51"/>
      <c r="G157" s="7"/>
      <c r="H157" s="52">
        <f>SUM(E157:G157)</f>
        <v>1300</v>
      </c>
      <c r="I157" s="51"/>
      <c r="J157" s="7"/>
      <c r="K157" s="52">
        <f>H157+I157+J157</f>
        <v>1300</v>
      </c>
      <c r="L157" s="51"/>
      <c r="M157" s="7"/>
      <c r="N157" s="165">
        <f>K157+L157+M157</f>
        <v>1300</v>
      </c>
    </row>
    <row r="158" spans="1:14" ht="12.75" hidden="1">
      <c r="A158" s="73" t="s">
        <v>93</v>
      </c>
      <c r="B158" s="51"/>
      <c r="C158" s="7"/>
      <c r="D158" s="7"/>
      <c r="E158" s="52">
        <f>SUM(B158:D158)</f>
        <v>0</v>
      </c>
      <c r="F158" s="51"/>
      <c r="G158" s="7"/>
      <c r="H158" s="52">
        <f>SUM(E158:G158)</f>
        <v>0</v>
      </c>
      <c r="I158" s="51"/>
      <c r="J158" s="7"/>
      <c r="K158" s="52">
        <f>H158+I158+J158</f>
        <v>0</v>
      </c>
      <c r="L158" s="51"/>
      <c r="M158" s="7"/>
      <c r="N158" s="165">
        <f>K158+L158+M158</f>
        <v>0</v>
      </c>
    </row>
    <row r="159" spans="1:14" ht="12.75">
      <c r="A159" s="79" t="s">
        <v>75</v>
      </c>
      <c r="B159" s="59">
        <f>B162+B161</f>
        <v>0</v>
      </c>
      <c r="C159" s="12">
        <f aca="true" t="shared" si="46" ref="C159:M159">C162</f>
        <v>0</v>
      </c>
      <c r="D159" s="12">
        <f t="shared" si="46"/>
        <v>0</v>
      </c>
      <c r="E159" s="60">
        <f t="shared" si="46"/>
        <v>0</v>
      </c>
      <c r="F159" s="59">
        <f t="shared" si="46"/>
        <v>0</v>
      </c>
      <c r="G159" s="12">
        <f t="shared" si="46"/>
        <v>0</v>
      </c>
      <c r="H159" s="60">
        <f t="shared" si="46"/>
        <v>0</v>
      </c>
      <c r="I159" s="59">
        <f t="shared" si="46"/>
        <v>0</v>
      </c>
      <c r="J159" s="12">
        <f t="shared" si="46"/>
        <v>0</v>
      </c>
      <c r="K159" s="60">
        <f>K162+K161</f>
        <v>0</v>
      </c>
      <c r="L159" s="59">
        <f>L162+L161</f>
        <v>2000</v>
      </c>
      <c r="M159" s="12">
        <f t="shared" si="46"/>
        <v>0</v>
      </c>
      <c r="N159" s="150">
        <f>N162+N161</f>
        <v>2000</v>
      </c>
    </row>
    <row r="160" spans="1:14" ht="12.75">
      <c r="A160" s="75" t="s">
        <v>38</v>
      </c>
      <c r="B160" s="51"/>
      <c r="C160" s="7"/>
      <c r="D160" s="7"/>
      <c r="E160" s="50"/>
      <c r="F160" s="51"/>
      <c r="G160" s="7"/>
      <c r="H160" s="50"/>
      <c r="I160" s="51"/>
      <c r="J160" s="7"/>
      <c r="K160" s="50"/>
      <c r="L160" s="51"/>
      <c r="M160" s="7"/>
      <c r="N160" s="149"/>
    </row>
    <row r="161" spans="1:14" ht="12.75">
      <c r="A161" s="76" t="s">
        <v>328</v>
      </c>
      <c r="B161" s="55"/>
      <c r="C161" s="10"/>
      <c r="D161" s="10"/>
      <c r="E161" s="174"/>
      <c r="F161" s="55"/>
      <c r="G161" s="10"/>
      <c r="H161" s="174"/>
      <c r="I161" s="55"/>
      <c r="J161" s="10"/>
      <c r="K161" s="56">
        <f>H161+I161+J161</f>
        <v>0</v>
      </c>
      <c r="L161" s="55">
        <v>2000</v>
      </c>
      <c r="M161" s="10"/>
      <c r="N161" s="164">
        <f>K161+L161+M161</f>
        <v>2000</v>
      </c>
    </row>
    <row r="162" spans="1:14" ht="12.75" hidden="1">
      <c r="A162" s="76" t="s">
        <v>93</v>
      </c>
      <c r="B162" s="55"/>
      <c r="C162" s="10"/>
      <c r="D162" s="10"/>
      <c r="E162" s="56">
        <f>SUM(B162:D162)</f>
        <v>0</v>
      </c>
      <c r="F162" s="55"/>
      <c r="G162" s="10"/>
      <c r="H162" s="56">
        <f>SUM(E162:G162)</f>
        <v>0</v>
      </c>
      <c r="I162" s="55"/>
      <c r="J162" s="10"/>
      <c r="K162" s="56">
        <f>H162+I162+J162</f>
        <v>0</v>
      </c>
      <c r="L162" s="55"/>
      <c r="M162" s="10"/>
      <c r="N162" s="164">
        <f>K162+L162+M162</f>
        <v>0</v>
      </c>
    </row>
    <row r="163" spans="1:14" ht="12.75">
      <c r="A163" s="70" t="s">
        <v>100</v>
      </c>
      <c r="B163" s="49">
        <f aca="true" t="shared" si="47" ref="B163:N163">B164+B179</f>
        <v>991354.3</v>
      </c>
      <c r="C163" s="6">
        <f t="shared" si="47"/>
        <v>454982.19999999995</v>
      </c>
      <c r="D163" s="6">
        <f t="shared" si="47"/>
        <v>0</v>
      </c>
      <c r="E163" s="50">
        <f t="shared" si="47"/>
        <v>1446336.5</v>
      </c>
      <c r="F163" s="49">
        <f t="shared" si="47"/>
        <v>345430.1</v>
      </c>
      <c r="G163" s="6">
        <f t="shared" si="47"/>
        <v>236.2</v>
      </c>
      <c r="H163" s="50">
        <f t="shared" si="47"/>
        <v>1792002.8</v>
      </c>
      <c r="I163" s="49">
        <f t="shared" si="47"/>
        <v>1986.0000000000146</v>
      </c>
      <c r="J163" s="6">
        <f t="shared" si="47"/>
        <v>0</v>
      </c>
      <c r="K163" s="50">
        <f t="shared" si="47"/>
        <v>1793988.7999999998</v>
      </c>
      <c r="L163" s="49">
        <f t="shared" si="47"/>
        <v>44919.3</v>
      </c>
      <c r="M163" s="6">
        <f t="shared" si="47"/>
        <v>0</v>
      </c>
      <c r="N163" s="149">
        <f t="shared" si="47"/>
        <v>1838908.0999999999</v>
      </c>
    </row>
    <row r="164" spans="1:14" ht="12.75">
      <c r="A164" s="79" t="s">
        <v>69</v>
      </c>
      <c r="B164" s="59">
        <f>SUM(B167:B178)</f>
        <v>976250</v>
      </c>
      <c r="C164" s="12">
        <f aca="true" t="shared" si="48" ref="C164:N164">SUM(C167:C178)</f>
        <v>57172.3</v>
      </c>
      <c r="D164" s="12">
        <f t="shared" si="48"/>
        <v>0</v>
      </c>
      <c r="E164" s="60">
        <f t="shared" si="48"/>
        <v>1033422.2999999999</v>
      </c>
      <c r="F164" s="59">
        <f t="shared" si="48"/>
        <v>277351.5</v>
      </c>
      <c r="G164" s="12">
        <f t="shared" si="48"/>
        <v>236.2</v>
      </c>
      <c r="H164" s="60">
        <f t="shared" si="48"/>
        <v>1311010</v>
      </c>
      <c r="I164" s="59">
        <f t="shared" si="48"/>
        <v>100433.70000000001</v>
      </c>
      <c r="J164" s="12">
        <f t="shared" si="48"/>
        <v>0</v>
      </c>
      <c r="K164" s="60">
        <f t="shared" si="48"/>
        <v>1411443.7</v>
      </c>
      <c r="L164" s="59">
        <f t="shared" si="48"/>
        <v>924.9000000000003</v>
      </c>
      <c r="M164" s="12">
        <f t="shared" si="48"/>
        <v>0</v>
      </c>
      <c r="N164" s="150">
        <f t="shared" si="48"/>
        <v>1412368.5999999999</v>
      </c>
    </row>
    <row r="165" spans="1:14" ht="12.75">
      <c r="A165" s="75" t="s">
        <v>38</v>
      </c>
      <c r="B165" s="51"/>
      <c r="C165" s="7"/>
      <c r="D165" s="7"/>
      <c r="E165" s="50"/>
      <c r="F165" s="51"/>
      <c r="G165" s="7"/>
      <c r="H165" s="50"/>
      <c r="I165" s="51"/>
      <c r="J165" s="7"/>
      <c r="K165" s="50"/>
      <c r="L165" s="51"/>
      <c r="M165" s="7"/>
      <c r="N165" s="149"/>
    </row>
    <row r="166" spans="1:14" ht="12.75">
      <c r="A166" s="77" t="s">
        <v>101</v>
      </c>
      <c r="B166" s="63">
        <f aca="true" t="shared" si="49" ref="B166:N166">B167+B168</f>
        <v>601870</v>
      </c>
      <c r="C166" s="7">
        <f t="shared" si="49"/>
        <v>17734.6</v>
      </c>
      <c r="D166" s="7">
        <f t="shared" si="49"/>
        <v>0</v>
      </c>
      <c r="E166" s="52">
        <f t="shared" si="49"/>
        <v>619604.6</v>
      </c>
      <c r="F166" s="51">
        <f t="shared" si="49"/>
        <v>0</v>
      </c>
      <c r="G166" s="7">
        <f t="shared" si="49"/>
        <v>0</v>
      </c>
      <c r="H166" s="52">
        <f t="shared" si="49"/>
        <v>619604.6</v>
      </c>
      <c r="I166" s="51">
        <f t="shared" si="49"/>
        <v>1593.9</v>
      </c>
      <c r="J166" s="7">
        <f t="shared" si="49"/>
        <v>0</v>
      </c>
      <c r="K166" s="52">
        <f t="shared" si="49"/>
        <v>621198.5</v>
      </c>
      <c r="L166" s="51">
        <f t="shared" si="49"/>
        <v>652.3</v>
      </c>
      <c r="M166" s="7">
        <f t="shared" si="49"/>
        <v>0</v>
      </c>
      <c r="N166" s="165">
        <f t="shared" si="49"/>
        <v>621850.8</v>
      </c>
    </row>
    <row r="167" spans="1:14" ht="12.75">
      <c r="A167" s="77" t="s">
        <v>102</v>
      </c>
      <c r="B167" s="51">
        <v>246074</v>
      </c>
      <c r="C167" s="7">
        <f>17726+8.6</f>
        <v>17734.6</v>
      </c>
      <c r="D167" s="7"/>
      <c r="E167" s="52">
        <f aca="true" t="shared" si="50" ref="E167:E178">B167+C167+D167</f>
        <v>263808.6</v>
      </c>
      <c r="F167" s="64"/>
      <c r="G167" s="15"/>
      <c r="H167" s="52">
        <f aca="true" t="shared" si="51" ref="H167:H178">E167+F167+G167</f>
        <v>263808.6</v>
      </c>
      <c r="I167" s="51">
        <f>300+1293.9</f>
        <v>1593.9</v>
      </c>
      <c r="J167" s="7"/>
      <c r="K167" s="52">
        <f aca="true" t="shared" si="52" ref="K167:K178">H167+I167+J167</f>
        <v>265402.5</v>
      </c>
      <c r="L167" s="51">
        <v>652.3</v>
      </c>
      <c r="M167" s="7"/>
      <c r="N167" s="165">
        <f aca="true" t="shared" si="53" ref="N167:N178">K167+L167+M167</f>
        <v>266054.8</v>
      </c>
    </row>
    <row r="168" spans="1:14" ht="13.5" thickBot="1">
      <c r="A168" s="158" t="s">
        <v>103</v>
      </c>
      <c r="B168" s="159">
        <v>355796</v>
      </c>
      <c r="C168" s="160"/>
      <c r="D168" s="160"/>
      <c r="E168" s="161">
        <f t="shared" si="50"/>
        <v>355796</v>
      </c>
      <c r="F168" s="175"/>
      <c r="G168" s="176"/>
      <c r="H168" s="161">
        <f t="shared" si="51"/>
        <v>355796</v>
      </c>
      <c r="I168" s="159"/>
      <c r="J168" s="160"/>
      <c r="K168" s="161">
        <f t="shared" si="52"/>
        <v>355796</v>
      </c>
      <c r="L168" s="159"/>
      <c r="M168" s="160"/>
      <c r="N168" s="177">
        <f t="shared" si="53"/>
        <v>355796</v>
      </c>
    </row>
    <row r="169" spans="1:14" ht="12.75">
      <c r="A169" s="77" t="s">
        <v>104</v>
      </c>
      <c r="B169" s="63">
        <v>7600</v>
      </c>
      <c r="C169" s="14"/>
      <c r="D169" s="14"/>
      <c r="E169" s="52">
        <f t="shared" si="50"/>
        <v>7600</v>
      </c>
      <c r="F169" s="63"/>
      <c r="G169" s="14"/>
      <c r="H169" s="52">
        <f t="shared" si="51"/>
        <v>7600</v>
      </c>
      <c r="I169" s="63"/>
      <c r="J169" s="14"/>
      <c r="K169" s="52">
        <f t="shared" si="52"/>
        <v>7600</v>
      </c>
      <c r="L169" s="51">
        <v>-6600</v>
      </c>
      <c r="M169" s="7"/>
      <c r="N169" s="165">
        <f t="shared" si="53"/>
        <v>1000</v>
      </c>
    </row>
    <row r="170" spans="1:14" ht="12.75">
      <c r="A170" s="73" t="s">
        <v>105</v>
      </c>
      <c r="B170" s="51">
        <v>5130</v>
      </c>
      <c r="C170" s="7"/>
      <c r="D170" s="7"/>
      <c r="E170" s="52">
        <f t="shared" si="50"/>
        <v>5130</v>
      </c>
      <c r="F170" s="51"/>
      <c r="G170" s="7"/>
      <c r="H170" s="52">
        <f t="shared" si="51"/>
        <v>5130</v>
      </c>
      <c r="I170" s="51">
        <v>1000</v>
      </c>
      <c r="J170" s="7"/>
      <c r="K170" s="52">
        <f t="shared" si="52"/>
        <v>6130</v>
      </c>
      <c r="L170" s="51">
        <v>56</v>
      </c>
      <c r="M170" s="7"/>
      <c r="N170" s="165">
        <f t="shared" si="53"/>
        <v>6186</v>
      </c>
    </row>
    <row r="171" spans="1:14" ht="12.75">
      <c r="A171" s="73" t="s">
        <v>297</v>
      </c>
      <c r="B171" s="51"/>
      <c r="C171" s="7"/>
      <c r="D171" s="7"/>
      <c r="E171" s="52">
        <f t="shared" si="50"/>
        <v>0</v>
      </c>
      <c r="F171" s="51">
        <v>200</v>
      </c>
      <c r="G171" s="7"/>
      <c r="H171" s="52">
        <f t="shared" si="51"/>
        <v>200</v>
      </c>
      <c r="I171" s="51"/>
      <c r="J171" s="7"/>
      <c r="K171" s="52">
        <f t="shared" si="52"/>
        <v>200</v>
      </c>
      <c r="L171" s="51"/>
      <c r="M171" s="7"/>
      <c r="N171" s="165">
        <f t="shared" si="53"/>
        <v>200</v>
      </c>
    </row>
    <row r="172" spans="1:14" ht="12.75">
      <c r="A172" s="73" t="s">
        <v>266</v>
      </c>
      <c r="B172" s="51"/>
      <c r="C172" s="7">
        <v>4437.7</v>
      </c>
      <c r="D172" s="7"/>
      <c r="E172" s="52">
        <f t="shared" si="50"/>
        <v>4437.7</v>
      </c>
      <c r="F172" s="51">
        <v>10127</v>
      </c>
      <c r="G172" s="7"/>
      <c r="H172" s="52">
        <v>4437.7</v>
      </c>
      <c r="I172" s="51"/>
      <c r="J172" s="7"/>
      <c r="K172" s="52">
        <f>H172+I172+J172</f>
        <v>4437.7</v>
      </c>
      <c r="L172" s="51">
        <v>-614.1</v>
      </c>
      <c r="M172" s="7"/>
      <c r="N172" s="165">
        <f t="shared" si="53"/>
        <v>3823.6</v>
      </c>
    </row>
    <row r="173" spans="1:14" ht="12.75">
      <c r="A173" s="73" t="s">
        <v>308</v>
      </c>
      <c r="B173" s="51"/>
      <c r="C173" s="7"/>
      <c r="D173" s="7"/>
      <c r="E173" s="52"/>
      <c r="F173" s="51"/>
      <c r="G173" s="7"/>
      <c r="H173" s="52">
        <v>10127</v>
      </c>
      <c r="I173" s="51">
        <f>56577.6+5195.3</f>
        <v>61772.9</v>
      </c>
      <c r="J173" s="7"/>
      <c r="K173" s="52">
        <f>H173+I173+J173</f>
        <v>71899.9</v>
      </c>
      <c r="L173" s="51">
        <v>1755.4</v>
      </c>
      <c r="M173" s="7"/>
      <c r="N173" s="165">
        <f t="shared" si="53"/>
        <v>73655.29999999999</v>
      </c>
    </row>
    <row r="174" spans="1:14" ht="12.75" hidden="1">
      <c r="A174" s="73" t="s">
        <v>106</v>
      </c>
      <c r="B174" s="51"/>
      <c r="C174" s="7"/>
      <c r="D174" s="7"/>
      <c r="E174" s="52">
        <f t="shared" si="50"/>
        <v>0</v>
      </c>
      <c r="F174" s="51"/>
      <c r="G174" s="7"/>
      <c r="H174" s="52">
        <f t="shared" si="51"/>
        <v>0</v>
      </c>
      <c r="I174" s="51"/>
      <c r="J174" s="7"/>
      <c r="K174" s="52">
        <f t="shared" si="52"/>
        <v>0</v>
      </c>
      <c r="L174" s="51"/>
      <c r="M174" s="7"/>
      <c r="N174" s="165">
        <f t="shared" si="53"/>
        <v>0</v>
      </c>
    </row>
    <row r="175" spans="1:14" ht="12.75">
      <c r="A175" s="73" t="s">
        <v>226</v>
      </c>
      <c r="B175" s="51"/>
      <c r="C175" s="7"/>
      <c r="D175" s="7"/>
      <c r="E175" s="52">
        <f t="shared" si="50"/>
        <v>0</v>
      </c>
      <c r="F175" s="51">
        <v>254602.6</v>
      </c>
      <c r="G175" s="7"/>
      <c r="H175" s="52">
        <f t="shared" si="51"/>
        <v>254602.6</v>
      </c>
      <c r="I175" s="51"/>
      <c r="J175" s="7"/>
      <c r="K175" s="52">
        <f t="shared" si="52"/>
        <v>254602.6</v>
      </c>
      <c r="L175" s="51"/>
      <c r="M175" s="7"/>
      <c r="N175" s="165">
        <f t="shared" si="53"/>
        <v>254602.6</v>
      </c>
    </row>
    <row r="176" spans="1:14" ht="12.75">
      <c r="A176" s="73" t="s">
        <v>278</v>
      </c>
      <c r="B176" s="51"/>
      <c r="C176" s="7"/>
      <c r="D176" s="7"/>
      <c r="E176" s="52">
        <f t="shared" si="50"/>
        <v>0</v>
      </c>
      <c r="F176" s="51">
        <f>18.3+310.9</f>
        <v>329.2</v>
      </c>
      <c r="G176" s="7"/>
      <c r="H176" s="52">
        <f t="shared" si="51"/>
        <v>329.2</v>
      </c>
      <c r="I176" s="51">
        <v>17.8</v>
      </c>
      <c r="J176" s="7"/>
      <c r="K176" s="52">
        <f t="shared" si="52"/>
        <v>347</v>
      </c>
      <c r="L176" s="51"/>
      <c r="M176" s="7"/>
      <c r="N176" s="165">
        <f t="shared" si="53"/>
        <v>347</v>
      </c>
    </row>
    <row r="177" spans="1:14" ht="12.75">
      <c r="A177" s="73" t="s">
        <v>72</v>
      </c>
      <c r="B177" s="51">
        <v>361650</v>
      </c>
      <c r="C177" s="7">
        <v>35000</v>
      </c>
      <c r="D177" s="7"/>
      <c r="E177" s="52">
        <f t="shared" si="50"/>
        <v>396650</v>
      </c>
      <c r="F177" s="51">
        <f>92.7+12000</f>
        <v>12092.7</v>
      </c>
      <c r="G177" s="7">
        <v>236.2</v>
      </c>
      <c r="H177" s="52">
        <f t="shared" si="51"/>
        <v>408978.9</v>
      </c>
      <c r="I177" s="51">
        <f>-1000+7000+30000+49.1</f>
        <v>36049.1</v>
      </c>
      <c r="J177" s="7"/>
      <c r="K177" s="52">
        <f t="shared" si="52"/>
        <v>445028</v>
      </c>
      <c r="L177" s="51">
        <f>1900+3044+13.5</f>
        <v>4957.5</v>
      </c>
      <c r="M177" s="7"/>
      <c r="N177" s="165">
        <f t="shared" si="53"/>
        <v>449985.5</v>
      </c>
    </row>
    <row r="178" spans="1:14" ht="12" customHeight="1">
      <c r="A178" s="73" t="s">
        <v>107</v>
      </c>
      <c r="B178" s="51"/>
      <c r="C178" s="7"/>
      <c r="D178" s="7"/>
      <c r="E178" s="65">
        <f t="shared" si="50"/>
        <v>0</v>
      </c>
      <c r="F178" s="51"/>
      <c r="G178" s="7"/>
      <c r="H178" s="52">
        <f t="shared" si="51"/>
        <v>0</v>
      </c>
      <c r="I178" s="51"/>
      <c r="J178" s="7"/>
      <c r="K178" s="52">
        <f t="shared" si="52"/>
        <v>0</v>
      </c>
      <c r="L178" s="51">
        <v>717.8</v>
      </c>
      <c r="M178" s="7"/>
      <c r="N178" s="165">
        <f t="shared" si="53"/>
        <v>717.8</v>
      </c>
    </row>
    <row r="179" spans="1:14" ht="12.75">
      <c r="A179" s="80" t="s">
        <v>75</v>
      </c>
      <c r="B179" s="61">
        <f aca="true" t="shared" si="54" ref="B179:N179">SUM(B181:B190)</f>
        <v>15104.3</v>
      </c>
      <c r="C179" s="13">
        <f t="shared" si="54"/>
        <v>397809.89999999997</v>
      </c>
      <c r="D179" s="13">
        <f t="shared" si="54"/>
        <v>0</v>
      </c>
      <c r="E179" s="62">
        <f t="shared" si="54"/>
        <v>412914.19999999995</v>
      </c>
      <c r="F179" s="61">
        <f t="shared" si="54"/>
        <v>68078.6</v>
      </c>
      <c r="G179" s="13">
        <f t="shared" si="54"/>
        <v>0</v>
      </c>
      <c r="H179" s="62">
        <f t="shared" si="54"/>
        <v>480992.8</v>
      </c>
      <c r="I179" s="61">
        <f t="shared" si="54"/>
        <v>-98447.7</v>
      </c>
      <c r="J179" s="13">
        <f t="shared" si="54"/>
        <v>0</v>
      </c>
      <c r="K179" s="62">
        <f t="shared" si="54"/>
        <v>382545.1</v>
      </c>
      <c r="L179" s="61">
        <f t="shared" si="54"/>
        <v>43994.4</v>
      </c>
      <c r="M179" s="13">
        <f t="shared" si="54"/>
        <v>0</v>
      </c>
      <c r="N179" s="171">
        <f t="shared" si="54"/>
        <v>426539.5</v>
      </c>
    </row>
    <row r="180" spans="1:14" ht="12.75">
      <c r="A180" s="71" t="s">
        <v>38</v>
      </c>
      <c r="B180" s="53"/>
      <c r="C180" s="8"/>
      <c r="D180" s="8"/>
      <c r="E180" s="54"/>
      <c r="F180" s="53"/>
      <c r="G180" s="8"/>
      <c r="H180" s="54"/>
      <c r="I180" s="53"/>
      <c r="J180" s="8"/>
      <c r="K180" s="54"/>
      <c r="L180" s="53"/>
      <c r="M180" s="8"/>
      <c r="N180" s="66"/>
    </row>
    <row r="181" spans="1:14" ht="12.75">
      <c r="A181" s="72" t="s">
        <v>76</v>
      </c>
      <c r="B181" s="51">
        <v>15000</v>
      </c>
      <c r="C181" s="7"/>
      <c r="D181" s="7"/>
      <c r="E181" s="52">
        <f>B181+C181+D181</f>
        <v>15000</v>
      </c>
      <c r="F181" s="51"/>
      <c r="G181" s="7"/>
      <c r="H181" s="52">
        <f>E181+F181+G181</f>
        <v>15000</v>
      </c>
      <c r="I181" s="51"/>
      <c r="J181" s="7"/>
      <c r="K181" s="52">
        <f>H181+I181+J181</f>
        <v>15000</v>
      </c>
      <c r="L181" s="51"/>
      <c r="M181" s="7"/>
      <c r="N181" s="165">
        <f>K181+L181+M181</f>
        <v>15000</v>
      </c>
    </row>
    <row r="182" spans="1:14" ht="12.75">
      <c r="A182" s="73" t="s">
        <v>108</v>
      </c>
      <c r="B182" s="51">
        <v>104.3</v>
      </c>
      <c r="C182" s="7">
        <f>495.7+30171.3+4130.3</f>
        <v>34797.3</v>
      </c>
      <c r="D182" s="7"/>
      <c r="E182" s="52">
        <f aca="true" t="shared" si="55" ref="E182:E190">B182+C182+D182</f>
        <v>34901.600000000006</v>
      </c>
      <c r="F182" s="51">
        <f>286.7+11743.2</f>
        <v>12029.900000000001</v>
      </c>
      <c r="G182" s="7"/>
      <c r="H182" s="52">
        <f aca="true" t="shared" si="56" ref="H182:H190">E182+F182+G182</f>
        <v>46931.50000000001</v>
      </c>
      <c r="I182" s="51">
        <f>2893.8-92.5+5000</f>
        <v>7801.3</v>
      </c>
      <c r="J182" s="7"/>
      <c r="K182" s="52">
        <f aca="true" t="shared" si="57" ref="K182:K190">H182+I182+J182</f>
        <v>54732.80000000001</v>
      </c>
      <c r="L182" s="51">
        <f>3500+7300+4547.2</f>
        <v>15347.2</v>
      </c>
      <c r="M182" s="7"/>
      <c r="N182" s="165">
        <f aca="true" t="shared" si="58" ref="N182:N190">K182+L182+M182</f>
        <v>70080.00000000001</v>
      </c>
    </row>
    <row r="183" spans="1:14" ht="12.75">
      <c r="A183" s="73" t="s">
        <v>325</v>
      </c>
      <c r="B183" s="51"/>
      <c r="C183" s="7"/>
      <c r="D183" s="7"/>
      <c r="E183" s="52">
        <f t="shared" si="55"/>
        <v>0</v>
      </c>
      <c r="F183" s="51"/>
      <c r="G183" s="7"/>
      <c r="H183" s="52">
        <f t="shared" si="56"/>
        <v>0</v>
      </c>
      <c r="I183" s="51"/>
      <c r="J183" s="7"/>
      <c r="K183" s="52">
        <f t="shared" si="57"/>
        <v>0</v>
      </c>
      <c r="L183" s="51">
        <v>400</v>
      </c>
      <c r="M183" s="7"/>
      <c r="N183" s="165">
        <f t="shared" si="58"/>
        <v>400</v>
      </c>
    </row>
    <row r="184" spans="1:14" ht="12.75">
      <c r="A184" s="73" t="s">
        <v>109</v>
      </c>
      <c r="B184" s="51"/>
      <c r="C184" s="7"/>
      <c r="D184" s="7"/>
      <c r="E184" s="52">
        <f t="shared" si="55"/>
        <v>0</v>
      </c>
      <c r="F184" s="51"/>
      <c r="G184" s="7"/>
      <c r="H184" s="52">
        <f t="shared" si="56"/>
        <v>0</v>
      </c>
      <c r="I184" s="51">
        <v>12483.4</v>
      </c>
      <c r="J184" s="7"/>
      <c r="K184" s="52">
        <f t="shared" si="57"/>
        <v>12483.4</v>
      </c>
      <c r="L184" s="51">
        <f>4084.7+5352</f>
        <v>9436.7</v>
      </c>
      <c r="M184" s="7"/>
      <c r="N184" s="165">
        <f t="shared" si="58"/>
        <v>21920.1</v>
      </c>
    </row>
    <row r="185" spans="1:14" ht="12.75">
      <c r="A185" s="73" t="s">
        <v>266</v>
      </c>
      <c r="B185" s="51"/>
      <c r="C185" s="7">
        <v>363012.6</v>
      </c>
      <c r="D185" s="7"/>
      <c r="E185" s="52">
        <f t="shared" si="55"/>
        <v>363012.6</v>
      </c>
      <c r="F185" s="51">
        <v>-10127</v>
      </c>
      <c r="G185" s="7"/>
      <c r="H185" s="52">
        <f t="shared" si="56"/>
        <v>352885.6</v>
      </c>
      <c r="I185" s="51">
        <f>-56577.6-5195.3</f>
        <v>-61772.9</v>
      </c>
      <c r="J185" s="7"/>
      <c r="K185" s="52">
        <f t="shared" si="57"/>
        <v>291112.69999999995</v>
      </c>
      <c r="L185" s="51">
        <v>-1141.3</v>
      </c>
      <c r="M185" s="7"/>
      <c r="N185" s="165">
        <f t="shared" si="58"/>
        <v>289971.39999999997</v>
      </c>
    </row>
    <row r="186" spans="1:14" ht="12.75" hidden="1">
      <c r="A186" s="73" t="s">
        <v>110</v>
      </c>
      <c r="B186" s="51"/>
      <c r="C186" s="7"/>
      <c r="D186" s="7"/>
      <c r="E186" s="52">
        <f t="shared" si="55"/>
        <v>0</v>
      </c>
      <c r="F186" s="51"/>
      <c r="G186" s="7"/>
      <c r="H186" s="52">
        <f t="shared" si="56"/>
        <v>0</v>
      </c>
      <c r="I186" s="51"/>
      <c r="J186" s="7"/>
      <c r="K186" s="52">
        <f t="shared" si="57"/>
        <v>0</v>
      </c>
      <c r="L186" s="68"/>
      <c r="M186" s="7"/>
      <c r="N186" s="165">
        <f t="shared" si="58"/>
        <v>0</v>
      </c>
    </row>
    <row r="187" spans="1:14" ht="12.75">
      <c r="A187" s="73" t="s">
        <v>278</v>
      </c>
      <c r="B187" s="51"/>
      <c r="C187" s="7"/>
      <c r="D187" s="7"/>
      <c r="E187" s="52">
        <f t="shared" si="55"/>
        <v>0</v>
      </c>
      <c r="F187" s="51">
        <f>3518.4+60437.6+584.8</f>
        <v>64540.8</v>
      </c>
      <c r="G187" s="7"/>
      <c r="H187" s="52">
        <f t="shared" si="56"/>
        <v>64540.8</v>
      </c>
      <c r="I187" s="51">
        <f>-60437.7-2893.8</f>
        <v>-63331.5</v>
      </c>
      <c r="J187" s="7"/>
      <c r="K187" s="52">
        <f t="shared" si="57"/>
        <v>1209.300000000003</v>
      </c>
      <c r="L187" s="68"/>
      <c r="M187" s="7"/>
      <c r="N187" s="165">
        <f t="shared" si="58"/>
        <v>1209.300000000003</v>
      </c>
    </row>
    <row r="188" spans="1:14" ht="12.75">
      <c r="A188" s="81" t="s">
        <v>111</v>
      </c>
      <c r="B188" s="55"/>
      <c r="C188" s="10"/>
      <c r="D188" s="10"/>
      <c r="E188" s="56">
        <f t="shared" si="55"/>
        <v>0</v>
      </c>
      <c r="F188" s="55">
        <v>1634.9</v>
      </c>
      <c r="G188" s="10"/>
      <c r="H188" s="56">
        <f t="shared" si="56"/>
        <v>1634.9</v>
      </c>
      <c r="I188" s="55">
        <v>6372</v>
      </c>
      <c r="J188" s="10"/>
      <c r="K188" s="56">
        <f t="shared" si="57"/>
        <v>8006.9</v>
      </c>
      <c r="L188" s="55">
        <f>10294.3+9657.5</f>
        <v>19951.8</v>
      </c>
      <c r="M188" s="10"/>
      <c r="N188" s="164">
        <f t="shared" si="58"/>
        <v>27958.699999999997</v>
      </c>
    </row>
    <row r="189" spans="1:14" ht="12.75" hidden="1">
      <c r="A189" s="73" t="s">
        <v>106</v>
      </c>
      <c r="B189" s="51"/>
      <c r="C189" s="7"/>
      <c r="D189" s="7"/>
      <c r="E189" s="52">
        <f t="shared" si="55"/>
        <v>0</v>
      </c>
      <c r="F189" s="51"/>
      <c r="G189" s="7"/>
      <c r="H189" s="52">
        <f t="shared" si="56"/>
        <v>0</v>
      </c>
      <c r="I189" s="51"/>
      <c r="J189" s="7"/>
      <c r="K189" s="52">
        <f t="shared" si="57"/>
        <v>0</v>
      </c>
      <c r="L189" s="51"/>
      <c r="M189" s="7"/>
      <c r="N189" s="165">
        <f t="shared" si="58"/>
        <v>0</v>
      </c>
    </row>
    <row r="190" spans="1:14" ht="12.75" hidden="1">
      <c r="A190" s="81" t="s">
        <v>112</v>
      </c>
      <c r="B190" s="55"/>
      <c r="C190" s="10"/>
      <c r="D190" s="10"/>
      <c r="E190" s="56">
        <f t="shared" si="55"/>
        <v>0</v>
      </c>
      <c r="F190" s="55"/>
      <c r="G190" s="10"/>
      <c r="H190" s="56">
        <f t="shared" si="56"/>
        <v>0</v>
      </c>
      <c r="I190" s="55"/>
      <c r="J190" s="10"/>
      <c r="K190" s="56">
        <f t="shared" si="57"/>
        <v>0</v>
      </c>
      <c r="L190" s="55"/>
      <c r="M190" s="10"/>
      <c r="N190" s="164">
        <f t="shared" si="58"/>
        <v>0</v>
      </c>
    </row>
    <row r="191" spans="1:14" ht="12.75">
      <c r="A191" s="70" t="s">
        <v>113</v>
      </c>
      <c r="B191" s="49">
        <f>B192+B197</f>
        <v>4417.3</v>
      </c>
      <c r="C191" s="6">
        <f aca="true" t="shared" si="59" ref="C191:N191">C192+C197</f>
        <v>6341.6</v>
      </c>
      <c r="D191" s="6">
        <f t="shared" si="59"/>
        <v>0</v>
      </c>
      <c r="E191" s="50">
        <f t="shared" si="59"/>
        <v>10758.900000000001</v>
      </c>
      <c r="F191" s="49">
        <f t="shared" si="59"/>
        <v>177.5</v>
      </c>
      <c r="G191" s="6">
        <f t="shared" si="59"/>
        <v>0</v>
      </c>
      <c r="H191" s="50">
        <f t="shared" si="59"/>
        <v>10936.400000000001</v>
      </c>
      <c r="I191" s="49">
        <f t="shared" si="59"/>
        <v>2520</v>
      </c>
      <c r="J191" s="6">
        <f t="shared" si="59"/>
        <v>-100</v>
      </c>
      <c r="K191" s="50">
        <f t="shared" si="59"/>
        <v>13356.400000000001</v>
      </c>
      <c r="L191" s="49">
        <f t="shared" si="59"/>
        <v>42.200000000000045</v>
      </c>
      <c r="M191" s="6">
        <f t="shared" si="59"/>
        <v>0</v>
      </c>
      <c r="N191" s="149">
        <f t="shared" si="59"/>
        <v>13398.6</v>
      </c>
    </row>
    <row r="192" spans="1:14" ht="12.75">
      <c r="A192" s="79" t="s">
        <v>69</v>
      </c>
      <c r="B192" s="59">
        <f>SUM(B194:B196)</f>
        <v>4417.3</v>
      </c>
      <c r="C192" s="12">
        <f aca="true" t="shared" si="60" ref="C192:N192">SUM(C194:C196)</f>
        <v>6341.6</v>
      </c>
      <c r="D192" s="12">
        <f t="shared" si="60"/>
        <v>0</v>
      </c>
      <c r="E192" s="60">
        <f t="shared" si="60"/>
        <v>10758.900000000001</v>
      </c>
      <c r="F192" s="59">
        <f t="shared" si="60"/>
        <v>177.5</v>
      </c>
      <c r="G192" s="12">
        <f t="shared" si="60"/>
        <v>0</v>
      </c>
      <c r="H192" s="60">
        <f t="shared" si="60"/>
        <v>10936.400000000001</v>
      </c>
      <c r="I192" s="59">
        <f t="shared" si="60"/>
        <v>2520</v>
      </c>
      <c r="J192" s="12">
        <f t="shared" si="60"/>
        <v>-100</v>
      </c>
      <c r="K192" s="60">
        <f t="shared" si="60"/>
        <v>13356.400000000001</v>
      </c>
      <c r="L192" s="59">
        <f t="shared" si="60"/>
        <v>42.200000000000045</v>
      </c>
      <c r="M192" s="12">
        <f t="shared" si="60"/>
        <v>0</v>
      </c>
      <c r="N192" s="150">
        <f t="shared" si="60"/>
        <v>13398.6</v>
      </c>
    </row>
    <row r="193" spans="1:14" ht="12.75">
      <c r="A193" s="75" t="s">
        <v>38</v>
      </c>
      <c r="B193" s="51"/>
      <c r="C193" s="7"/>
      <c r="D193" s="7"/>
      <c r="E193" s="50"/>
      <c r="F193" s="51"/>
      <c r="G193" s="7"/>
      <c r="H193" s="50"/>
      <c r="I193" s="51"/>
      <c r="J193" s="7"/>
      <c r="K193" s="50"/>
      <c r="L193" s="51"/>
      <c r="M193" s="7"/>
      <c r="N193" s="149"/>
    </row>
    <row r="194" spans="1:14" ht="12.75">
      <c r="A194" s="72" t="s">
        <v>72</v>
      </c>
      <c r="B194" s="51">
        <v>4417.3</v>
      </c>
      <c r="C194" s="7">
        <v>150</v>
      </c>
      <c r="D194" s="7"/>
      <c r="E194" s="52">
        <f>B194+C194+D194</f>
        <v>4567.3</v>
      </c>
      <c r="F194" s="51">
        <v>177.5</v>
      </c>
      <c r="G194" s="7"/>
      <c r="H194" s="52">
        <f>E194+F194+G194</f>
        <v>4744.8</v>
      </c>
      <c r="I194" s="51">
        <f>100+500-57.2+1920</f>
        <v>2462.8</v>
      </c>
      <c r="J194" s="7"/>
      <c r="K194" s="52">
        <f>H194+I194+J194</f>
        <v>7207.6</v>
      </c>
      <c r="L194" s="51">
        <f>-1900+500</f>
        <v>-1400</v>
      </c>
      <c r="M194" s="7"/>
      <c r="N194" s="165">
        <f>K194+L194+M194</f>
        <v>5807.6</v>
      </c>
    </row>
    <row r="195" spans="1:14" ht="12.75">
      <c r="A195" s="76" t="s">
        <v>108</v>
      </c>
      <c r="B195" s="55"/>
      <c r="C195" s="10">
        <f>1889.8+4301.8</f>
        <v>6191.6</v>
      </c>
      <c r="D195" s="10"/>
      <c r="E195" s="56">
        <f>B195+C195+D195</f>
        <v>6191.6</v>
      </c>
      <c r="F195" s="55"/>
      <c r="G195" s="10"/>
      <c r="H195" s="56">
        <f>E195+F195+G195</f>
        <v>6191.6</v>
      </c>
      <c r="I195" s="55">
        <v>57.2</v>
      </c>
      <c r="J195" s="10">
        <v>-100</v>
      </c>
      <c r="K195" s="56">
        <f>H195+I195+J195</f>
        <v>6148.8</v>
      </c>
      <c r="L195" s="55">
        <f>42.2+1500-100</f>
        <v>1442.2</v>
      </c>
      <c r="M195" s="10"/>
      <c r="N195" s="164">
        <f>K195+L195+M195</f>
        <v>7591</v>
      </c>
    </row>
    <row r="196" spans="1:14" ht="12.75" hidden="1">
      <c r="A196" s="82" t="s">
        <v>93</v>
      </c>
      <c r="B196" s="51"/>
      <c r="C196" s="7"/>
      <c r="D196" s="7"/>
      <c r="E196" s="52">
        <f>B196+C196+D196</f>
        <v>0</v>
      </c>
      <c r="F196" s="51"/>
      <c r="G196" s="7"/>
      <c r="H196" s="52">
        <f>E196+F196+G196</f>
        <v>0</v>
      </c>
      <c r="I196" s="51"/>
      <c r="J196" s="7"/>
      <c r="K196" s="52">
        <f>H196+I196+J196</f>
        <v>0</v>
      </c>
      <c r="L196" s="51"/>
      <c r="M196" s="7"/>
      <c r="N196" s="165">
        <f>K196+L196+M196</f>
        <v>0</v>
      </c>
    </row>
    <row r="197" spans="1:14" ht="12.75" hidden="1">
      <c r="A197" s="80" t="s">
        <v>75</v>
      </c>
      <c r="B197" s="61">
        <f>B199</f>
        <v>0</v>
      </c>
      <c r="C197" s="13">
        <f aca="true" t="shared" si="61" ref="C197:N197">C199</f>
        <v>0</v>
      </c>
      <c r="D197" s="13">
        <f t="shared" si="61"/>
        <v>0</v>
      </c>
      <c r="E197" s="62">
        <f t="shared" si="61"/>
        <v>0</v>
      </c>
      <c r="F197" s="61">
        <f t="shared" si="61"/>
        <v>0</v>
      </c>
      <c r="G197" s="13">
        <f t="shared" si="61"/>
        <v>0</v>
      </c>
      <c r="H197" s="62">
        <f t="shared" si="61"/>
        <v>0</v>
      </c>
      <c r="I197" s="53">
        <f t="shared" si="61"/>
        <v>0</v>
      </c>
      <c r="J197" s="8">
        <f t="shared" si="61"/>
        <v>0</v>
      </c>
      <c r="K197" s="54">
        <f t="shared" si="61"/>
        <v>0</v>
      </c>
      <c r="L197" s="53">
        <f t="shared" si="61"/>
        <v>0</v>
      </c>
      <c r="M197" s="8">
        <f t="shared" si="61"/>
        <v>0</v>
      </c>
      <c r="N197" s="66">
        <f t="shared" si="61"/>
        <v>0</v>
      </c>
    </row>
    <row r="198" spans="1:14" ht="12.75" hidden="1">
      <c r="A198" s="71" t="s">
        <v>38</v>
      </c>
      <c r="B198" s="51"/>
      <c r="C198" s="7"/>
      <c r="D198" s="7"/>
      <c r="E198" s="52"/>
      <c r="F198" s="51"/>
      <c r="G198" s="7"/>
      <c r="H198" s="52"/>
      <c r="I198" s="51"/>
      <c r="J198" s="7"/>
      <c r="K198" s="52"/>
      <c r="L198" s="51"/>
      <c r="M198" s="7"/>
      <c r="N198" s="165"/>
    </row>
    <row r="199" spans="1:14" ht="12.75" hidden="1">
      <c r="A199" s="83" t="s">
        <v>96</v>
      </c>
      <c r="B199" s="55"/>
      <c r="C199" s="10"/>
      <c r="D199" s="10"/>
      <c r="E199" s="56"/>
      <c r="F199" s="55"/>
      <c r="G199" s="10"/>
      <c r="H199" s="56"/>
      <c r="I199" s="55"/>
      <c r="J199" s="10"/>
      <c r="K199" s="56">
        <f>H199+I199+J199</f>
        <v>0</v>
      </c>
      <c r="L199" s="55"/>
      <c r="M199" s="10"/>
      <c r="N199" s="164">
        <f>K199+L199+M199</f>
        <v>0</v>
      </c>
    </row>
    <row r="200" spans="1:14" ht="12.75">
      <c r="A200" s="74" t="s">
        <v>114</v>
      </c>
      <c r="B200" s="53">
        <f aca="true" t="shared" si="62" ref="B200:N200">B201+B205</f>
        <v>33571.5</v>
      </c>
      <c r="C200" s="8">
        <f t="shared" si="62"/>
        <v>17950</v>
      </c>
      <c r="D200" s="8">
        <f t="shared" si="62"/>
        <v>0</v>
      </c>
      <c r="E200" s="54">
        <f t="shared" si="62"/>
        <v>51521.5</v>
      </c>
      <c r="F200" s="53">
        <f t="shared" si="62"/>
        <v>0</v>
      </c>
      <c r="G200" s="8">
        <f t="shared" si="62"/>
        <v>0</v>
      </c>
      <c r="H200" s="54">
        <f t="shared" si="62"/>
        <v>51521.5</v>
      </c>
      <c r="I200" s="53">
        <f t="shared" si="62"/>
        <v>0</v>
      </c>
      <c r="J200" s="8">
        <f t="shared" si="62"/>
        <v>0</v>
      </c>
      <c r="K200" s="54">
        <f t="shared" si="62"/>
        <v>51521.5</v>
      </c>
      <c r="L200" s="53">
        <f t="shared" si="62"/>
        <v>-207</v>
      </c>
      <c r="M200" s="8">
        <f t="shared" si="62"/>
        <v>0</v>
      </c>
      <c r="N200" s="66">
        <f t="shared" si="62"/>
        <v>51314.5</v>
      </c>
    </row>
    <row r="201" spans="1:14" ht="12.75">
      <c r="A201" s="79" t="s">
        <v>69</v>
      </c>
      <c r="B201" s="59">
        <f aca="true" t="shared" si="63" ref="B201:N201">SUM(B203:B204)</f>
        <v>27100</v>
      </c>
      <c r="C201" s="12">
        <f t="shared" si="63"/>
        <v>2950</v>
      </c>
      <c r="D201" s="12">
        <f t="shared" si="63"/>
        <v>0</v>
      </c>
      <c r="E201" s="60">
        <f t="shared" si="63"/>
        <v>30050</v>
      </c>
      <c r="F201" s="59">
        <f t="shared" si="63"/>
        <v>0</v>
      </c>
      <c r="G201" s="12">
        <f t="shared" si="63"/>
        <v>0</v>
      </c>
      <c r="H201" s="60">
        <f t="shared" si="63"/>
        <v>30050</v>
      </c>
      <c r="I201" s="59">
        <f t="shared" si="63"/>
        <v>0</v>
      </c>
      <c r="J201" s="12">
        <f t="shared" si="63"/>
        <v>0</v>
      </c>
      <c r="K201" s="60">
        <f t="shared" si="63"/>
        <v>30050</v>
      </c>
      <c r="L201" s="59">
        <f t="shared" si="63"/>
        <v>0</v>
      </c>
      <c r="M201" s="12">
        <f t="shared" si="63"/>
        <v>0</v>
      </c>
      <c r="N201" s="150">
        <f t="shared" si="63"/>
        <v>30050</v>
      </c>
    </row>
    <row r="202" spans="1:14" ht="12.75">
      <c r="A202" s="75" t="s">
        <v>38</v>
      </c>
      <c r="B202" s="51"/>
      <c r="C202" s="7"/>
      <c r="D202" s="7"/>
      <c r="E202" s="50"/>
      <c r="F202" s="51"/>
      <c r="G202" s="7"/>
      <c r="H202" s="50"/>
      <c r="I202" s="51"/>
      <c r="J202" s="7"/>
      <c r="K202" s="50"/>
      <c r="L202" s="51"/>
      <c r="M202" s="7"/>
      <c r="N202" s="149"/>
    </row>
    <row r="203" spans="1:14" ht="12.75">
      <c r="A203" s="73" t="s">
        <v>72</v>
      </c>
      <c r="B203" s="51">
        <v>5100</v>
      </c>
      <c r="C203" s="7">
        <f>-50+3000</f>
        <v>2950</v>
      </c>
      <c r="D203" s="7"/>
      <c r="E203" s="52">
        <f>B203+C203+D203</f>
        <v>8050</v>
      </c>
      <c r="F203" s="51"/>
      <c r="G203" s="7"/>
      <c r="H203" s="52">
        <f>E203+F203+G203</f>
        <v>8050</v>
      </c>
      <c r="I203" s="51"/>
      <c r="J203" s="7"/>
      <c r="K203" s="52">
        <f>H203+I203+J203</f>
        <v>8050</v>
      </c>
      <c r="L203" s="51"/>
      <c r="M203" s="7"/>
      <c r="N203" s="165">
        <f>K203+L203+M203</f>
        <v>8050</v>
      </c>
    </row>
    <row r="204" spans="1:14" ht="12.75">
      <c r="A204" s="73" t="s">
        <v>115</v>
      </c>
      <c r="B204" s="51">
        <v>22000</v>
      </c>
      <c r="C204" s="7"/>
      <c r="D204" s="7"/>
      <c r="E204" s="52">
        <f>B204+C204+D204</f>
        <v>22000</v>
      </c>
      <c r="F204" s="51"/>
      <c r="G204" s="7"/>
      <c r="H204" s="52">
        <f>E204+F204+G204</f>
        <v>22000</v>
      </c>
      <c r="I204" s="51"/>
      <c r="J204" s="7"/>
      <c r="K204" s="52">
        <f>H204+I204+J204</f>
        <v>22000</v>
      </c>
      <c r="L204" s="51"/>
      <c r="M204" s="7"/>
      <c r="N204" s="165">
        <f>K204+L204+M204</f>
        <v>22000</v>
      </c>
    </row>
    <row r="205" spans="1:14" ht="12.75">
      <c r="A205" s="80" t="s">
        <v>75</v>
      </c>
      <c r="B205" s="61">
        <f aca="true" t="shared" si="64" ref="B205:H205">B208+B207</f>
        <v>6471.5</v>
      </c>
      <c r="C205" s="13">
        <f t="shared" si="64"/>
        <v>15000</v>
      </c>
      <c r="D205" s="13">
        <f t="shared" si="64"/>
        <v>0</v>
      </c>
      <c r="E205" s="62">
        <f t="shared" si="64"/>
        <v>21471.5</v>
      </c>
      <c r="F205" s="61">
        <f t="shared" si="64"/>
        <v>0</v>
      </c>
      <c r="G205" s="13">
        <f t="shared" si="64"/>
        <v>0</v>
      </c>
      <c r="H205" s="62">
        <f t="shared" si="64"/>
        <v>21471.5</v>
      </c>
      <c r="I205" s="61">
        <f aca="true" t="shared" si="65" ref="I205:N205">I208+I207</f>
        <v>0</v>
      </c>
      <c r="J205" s="166">
        <f t="shared" si="65"/>
        <v>0</v>
      </c>
      <c r="K205" s="62">
        <f t="shared" si="65"/>
        <v>21471.5</v>
      </c>
      <c r="L205" s="61">
        <f t="shared" si="65"/>
        <v>-207</v>
      </c>
      <c r="M205" s="13">
        <f t="shared" si="65"/>
        <v>0</v>
      </c>
      <c r="N205" s="171">
        <f t="shared" si="65"/>
        <v>21264.5</v>
      </c>
    </row>
    <row r="206" spans="1:14" ht="12.75">
      <c r="A206" s="71" t="s">
        <v>38</v>
      </c>
      <c r="B206" s="53"/>
      <c r="C206" s="8"/>
      <c r="D206" s="8"/>
      <c r="E206" s="54"/>
      <c r="F206" s="53"/>
      <c r="G206" s="8"/>
      <c r="H206" s="54"/>
      <c r="I206" s="53"/>
      <c r="J206" s="8"/>
      <c r="K206" s="54"/>
      <c r="L206" s="53"/>
      <c r="M206" s="8"/>
      <c r="N206" s="66"/>
    </row>
    <row r="207" spans="1:14" ht="12.75">
      <c r="A207" s="73" t="s">
        <v>108</v>
      </c>
      <c r="B207" s="51">
        <v>1471.5</v>
      </c>
      <c r="C207" s="7">
        <v>1000</v>
      </c>
      <c r="D207" s="8"/>
      <c r="E207" s="52">
        <f>B207+C207+D207</f>
        <v>2471.5</v>
      </c>
      <c r="F207" s="53"/>
      <c r="G207" s="8"/>
      <c r="H207" s="52">
        <f>E207+F207+G207</f>
        <v>2471.5</v>
      </c>
      <c r="I207" s="53"/>
      <c r="J207" s="8"/>
      <c r="K207" s="52">
        <f>H207+I207+J207</f>
        <v>2471.5</v>
      </c>
      <c r="L207" s="53"/>
      <c r="M207" s="8"/>
      <c r="N207" s="165">
        <f>K207+L207+M207</f>
        <v>2471.5</v>
      </c>
    </row>
    <row r="208" spans="1:14" ht="12.75">
      <c r="A208" s="84" t="s">
        <v>76</v>
      </c>
      <c r="B208" s="55">
        <v>5000</v>
      </c>
      <c r="C208" s="10">
        <v>14000</v>
      </c>
      <c r="D208" s="10"/>
      <c r="E208" s="56">
        <f>B208+C208+D208</f>
        <v>19000</v>
      </c>
      <c r="F208" s="55"/>
      <c r="G208" s="10"/>
      <c r="H208" s="56">
        <f>E208+F208+G208</f>
        <v>19000</v>
      </c>
      <c r="I208" s="55"/>
      <c r="J208" s="10"/>
      <c r="K208" s="56">
        <f>H208+I208+J208</f>
        <v>19000</v>
      </c>
      <c r="L208" s="55">
        <v>-207</v>
      </c>
      <c r="M208" s="10"/>
      <c r="N208" s="164">
        <f>K208+L208+M208</f>
        <v>18793</v>
      </c>
    </row>
    <row r="209" spans="1:14" ht="12.75">
      <c r="A209" s="70" t="s">
        <v>116</v>
      </c>
      <c r="B209" s="49">
        <f aca="true" t="shared" si="66" ref="B209:N209">B210+B256</f>
        <v>287846.6</v>
      </c>
      <c r="C209" s="6">
        <f t="shared" si="66"/>
        <v>182402.5</v>
      </c>
      <c r="D209" s="6">
        <f t="shared" si="66"/>
        <v>-38250</v>
      </c>
      <c r="E209" s="50">
        <f t="shared" si="66"/>
        <v>431999.1</v>
      </c>
      <c r="F209" s="49">
        <f t="shared" si="66"/>
        <v>104244.9</v>
      </c>
      <c r="G209" s="6">
        <f t="shared" si="66"/>
        <v>-29217.3</v>
      </c>
      <c r="H209" s="50">
        <f t="shared" si="66"/>
        <v>507026.70000000007</v>
      </c>
      <c r="I209" s="49">
        <f t="shared" si="66"/>
        <v>99589.5</v>
      </c>
      <c r="J209" s="6">
        <f t="shared" si="66"/>
        <v>0</v>
      </c>
      <c r="K209" s="50">
        <f t="shared" si="66"/>
        <v>606616.2</v>
      </c>
      <c r="L209" s="49">
        <f t="shared" si="66"/>
        <v>45701.899999999994</v>
      </c>
      <c r="M209" s="6">
        <f t="shared" si="66"/>
        <v>0</v>
      </c>
      <c r="N209" s="149">
        <f t="shared" si="66"/>
        <v>652318.1</v>
      </c>
    </row>
    <row r="210" spans="1:14" ht="12.75">
      <c r="A210" s="79" t="s">
        <v>69</v>
      </c>
      <c r="B210" s="59">
        <f aca="true" t="shared" si="67" ref="B210:N210">SUM(B212:B246)+B248</f>
        <v>101253.8</v>
      </c>
      <c r="C210" s="12">
        <f t="shared" si="67"/>
        <v>119470.89999999998</v>
      </c>
      <c r="D210" s="12">
        <f t="shared" si="67"/>
        <v>-18650</v>
      </c>
      <c r="E210" s="60">
        <f t="shared" si="67"/>
        <v>202074.7</v>
      </c>
      <c r="F210" s="59">
        <f t="shared" si="67"/>
        <v>95165.6</v>
      </c>
      <c r="G210" s="12">
        <f t="shared" si="67"/>
        <v>-29060</v>
      </c>
      <c r="H210" s="60">
        <f t="shared" si="67"/>
        <v>268180.30000000005</v>
      </c>
      <c r="I210" s="59">
        <f t="shared" si="67"/>
        <v>97862</v>
      </c>
      <c r="J210" s="12">
        <f t="shared" si="67"/>
        <v>-6161</v>
      </c>
      <c r="K210" s="60">
        <f t="shared" si="67"/>
        <v>359881.29999999993</v>
      </c>
      <c r="L210" s="59">
        <f t="shared" si="67"/>
        <v>58913.799999999996</v>
      </c>
      <c r="M210" s="12">
        <f t="shared" si="67"/>
        <v>0</v>
      </c>
      <c r="N210" s="150">
        <f t="shared" si="67"/>
        <v>418795.1</v>
      </c>
    </row>
    <row r="211" spans="1:14" ht="12.75">
      <c r="A211" s="71" t="s">
        <v>38</v>
      </c>
      <c r="B211" s="53"/>
      <c r="C211" s="8"/>
      <c r="D211" s="8"/>
      <c r="E211" s="54"/>
      <c r="F211" s="53"/>
      <c r="G211" s="8"/>
      <c r="H211" s="54"/>
      <c r="I211" s="53"/>
      <c r="J211" s="8"/>
      <c r="K211" s="54"/>
      <c r="L211" s="53"/>
      <c r="M211" s="8"/>
      <c r="N211" s="66"/>
    </row>
    <row r="212" spans="1:14" ht="12.75">
      <c r="A212" s="73" t="s">
        <v>72</v>
      </c>
      <c r="B212" s="51">
        <v>3729.3</v>
      </c>
      <c r="C212" s="7"/>
      <c r="D212" s="7"/>
      <c r="E212" s="52">
        <f>B212+C212+D212</f>
        <v>3729.3</v>
      </c>
      <c r="F212" s="51"/>
      <c r="G212" s="7"/>
      <c r="H212" s="52">
        <f>E212+F212+G212</f>
        <v>3729.3</v>
      </c>
      <c r="I212" s="68"/>
      <c r="J212" s="7"/>
      <c r="K212" s="52">
        <f>H212+I212+J212</f>
        <v>3729.3</v>
      </c>
      <c r="L212" s="68"/>
      <c r="M212" s="7"/>
      <c r="N212" s="165">
        <f>K212+L212+M212</f>
        <v>3729.3</v>
      </c>
    </row>
    <row r="213" spans="1:14" ht="12.75">
      <c r="A213" s="73" t="s">
        <v>223</v>
      </c>
      <c r="B213" s="51">
        <v>5693.8</v>
      </c>
      <c r="C213" s="7"/>
      <c r="D213" s="7"/>
      <c r="E213" s="52">
        <f aca="true" t="shared" si="68" ref="E213:E255">B213+C213+D213</f>
        <v>5693.8</v>
      </c>
      <c r="F213" s="51"/>
      <c r="G213" s="7"/>
      <c r="H213" s="52">
        <f aca="true" t="shared" si="69" ref="H213:H247">E213+F213+G213</f>
        <v>5693.8</v>
      </c>
      <c r="I213" s="51"/>
      <c r="J213" s="7"/>
      <c r="K213" s="52">
        <f aca="true" t="shared" si="70" ref="K213:K255">H213+I213+J213</f>
        <v>5693.8</v>
      </c>
      <c r="L213" s="51"/>
      <c r="M213" s="7"/>
      <c r="N213" s="165">
        <f>K213+L213+M213</f>
        <v>5693.8</v>
      </c>
    </row>
    <row r="214" spans="1:14" ht="12.75">
      <c r="A214" s="82" t="s">
        <v>117</v>
      </c>
      <c r="B214" s="51">
        <v>1300</v>
      </c>
      <c r="C214" s="7"/>
      <c r="D214" s="7"/>
      <c r="E214" s="52">
        <f t="shared" si="68"/>
        <v>1300</v>
      </c>
      <c r="F214" s="51"/>
      <c r="G214" s="7"/>
      <c r="H214" s="52">
        <f t="shared" si="69"/>
        <v>1300</v>
      </c>
      <c r="I214" s="51"/>
      <c r="J214" s="7"/>
      <c r="K214" s="52">
        <f t="shared" si="70"/>
        <v>1300</v>
      </c>
      <c r="L214" s="51"/>
      <c r="M214" s="7"/>
      <c r="N214" s="165">
        <f>K214+L214+M214</f>
        <v>1300</v>
      </c>
    </row>
    <row r="215" spans="1:14" ht="12.75" hidden="1">
      <c r="A215" s="73" t="s">
        <v>219</v>
      </c>
      <c r="B215" s="51"/>
      <c r="C215" s="7"/>
      <c r="D215" s="7"/>
      <c r="E215" s="52">
        <f t="shared" si="68"/>
        <v>0</v>
      </c>
      <c r="F215" s="51"/>
      <c r="G215" s="7"/>
      <c r="H215" s="52">
        <f t="shared" si="69"/>
        <v>0</v>
      </c>
      <c r="I215" s="51"/>
      <c r="J215" s="7"/>
      <c r="K215" s="52">
        <f t="shared" si="70"/>
        <v>0</v>
      </c>
      <c r="L215" s="51"/>
      <c r="M215" s="7"/>
      <c r="N215" s="165">
        <f aca="true" t="shared" si="71" ref="N215:N227">K215+L215+M215</f>
        <v>0</v>
      </c>
    </row>
    <row r="216" spans="1:14" ht="12.75">
      <c r="A216" s="82" t="s">
        <v>255</v>
      </c>
      <c r="B216" s="51"/>
      <c r="C216" s="7">
        <v>13120.1</v>
      </c>
      <c r="D216" s="7"/>
      <c r="E216" s="52">
        <f t="shared" si="68"/>
        <v>13120.1</v>
      </c>
      <c r="F216" s="51"/>
      <c r="G216" s="7"/>
      <c r="H216" s="52">
        <f t="shared" si="69"/>
        <v>13120.1</v>
      </c>
      <c r="I216" s="51"/>
      <c r="J216" s="7"/>
      <c r="K216" s="52">
        <f t="shared" si="70"/>
        <v>13120.1</v>
      </c>
      <c r="L216" s="51"/>
      <c r="M216" s="7"/>
      <c r="N216" s="165">
        <f t="shared" si="71"/>
        <v>13120.1</v>
      </c>
    </row>
    <row r="217" spans="1:14" ht="12.75">
      <c r="A217" s="82" t="s">
        <v>220</v>
      </c>
      <c r="B217" s="51"/>
      <c r="C217" s="7"/>
      <c r="D217" s="7"/>
      <c r="E217" s="52">
        <f t="shared" si="68"/>
        <v>0</v>
      </c>
      <c r="F217" s="51">
        <f>1363.4+1507.2</f>
        <v>2870.6000000000004</v>
      </c>
      <c r="G217" s="7"/>
      <c r="H217" s="52">
        <f t="shared" si="69"/>
        <v>2870.6000000000004</v>
      </c>
      <c r="I217" s="51">
        <f>2383.1+34049.9+6488.9</f>
        <v>42921.9</v>
      </c>
      <c r="J217" s="7"/>
      <c r="K217" s="52">
        <f t="shared" si="70"/>
        <v>45792.5</v>
      </c>
      <c r="L217" s="51"/>
      <c r="M217" s="7"/>
      <c r="N217" s="165">
        <f t="shared" si="71"/>
        <v>45792.5</v>
      </c>
    </row>
    <row r="218" spans="1:14" ht="12.75">
      <c r="A218" s="71" t="s">
        <v>243</v>
      </c>
      <c r="B218" s="51"/>
      <c r="C218" s="7">
        <v>14.8</v>
      </c>
      <c r="D218" s="7"/>
      <c r="E218" s="52">
        <f t="shared" si="68"/>
        <v>14.8</v>
      </c>
      <c r="F218" s="51"/>
      <c r="G218" s="7"/>
      <c r="H218" s="52">
        <f t="shared" si="69"/>
        <v>14.8</v>
      </c>
      <c r="I218" s="51"/>
      <c r="J218" s="7"/>
      <c r="K218" s="52">
        <f t="shared" si="70"/>
        <v>14.8</v>
      </c>
      <c r="L218" s="51"/>
      <c r="M218" s="7"/>
      <c r="N218" s="165">
        <f t="shared" si="71"/>
        <v>14.8</v>
      </c>
    </row>
    <row r="219" spans="1:14" ht="12.75">
      <c r="A219" s="82" t="s">
        <v>221</v>
      </c>
      <c r="B219" s="51"/>
      <c r="C219" s="7"/>
      <c r="D219" s="7"/>
      <c r="E219" s="52">
        <f t="shared" si="68"/>
        <v>0</v>
      </c>
      <c r="F219" s="51">
        <f>11.8+198.3</f>
        <v>210.10000000000002</v>
      </c>
      <c r="G219" s="7"/>
      <c r="H219" s="52">
        <f t="shared" si="69"/>
        <v>210.10000000000002</v>
      </c>
      <c r="I219" s="51"/>
      <c r="J219" s="7"/>
      <c r="K219" s="52">
        <f t="shared" si="70"/>
        <v>210.10000000000002</v>
      </c>
      <c r="L219" s="51">
        <f>9.2+156.5</f>
        <v>165.7</v>
      </c>
      <c r="M219" s="7"/>
      <c r="N219" s="165">
        <f t="shared" si="71"/>
        <v>375.8</v>
      </c>
    </row>
    <row r="220" spans="1:14" ht="12.75">
      <c r="A220" s="71" t="s">
        <v>246</v>
      </c>
      <c r="B220" s="51"/>
      <c r="C220" s="7">
        <v>978.2</v>
      </c>
      <c r="D220" s="7"/>
      <c r="E220" s="52">
        <f t="shared" si="68"/>
        <v>978.2</v>
      </c>
      <c r="F220" s="51"/>
      <c r="G220" s="7"/>
      <c r="H220" s="52">
        <f t="shared" si="69"/>
        <v>978.2</v>
      </c>
      <c r="I220" s="51"/>
      <c r="J220" s="7"/>
      <c r="K220" s="52">
        <f t="shared" si="70"/>
        <v>978.2</v>
      </c>
      <c r="L220" s="51"/>
      <c r="M220" s="7"/>
      <c r="N220" s="165">
        <f t="shared" si="71"/>
        <v>978.2</v>
      </c>
    </row>
    <row r="221" spans="1:14" ht="12.75">
      <c r="A221" s="82" t="s">
        <v>274</v>
      </c>
      <c r="B221" s="51"/>
      <c r="C221" s="7"/>
      <c r="D221" s="7"/>
      <c r="E221" s="52">
        <f t="shared" si="68"/>
        <v>0</v>
      </c>
      <c r="F221" s="51">
        <v>1663.7</v>
      </c>
      <c r="G221" s="7"/>
      <c r="H221" s="52">
        <f t="shared" si="69"/>
        <v>1663.7</v>
      </c>
      <c r="I221" s="51"/>
      <c r="J221" s="7"/>
      <c r="K221" s="52">
        <f t="shared" si="70"/>
        <v>1663.7</v>
      </c>
      <c r="L221" s="51">
        <v>2099.8</v>
      </c>
      <c r="M221" s="7"/>
      <c r="N221" s="165">
        <f t="shared" si="71"/>
        <v>3763.5</v>
      </c>
    </row>
    <row r="222" spans="1:14" ht="12.75">
      <c r="A222" s="71" t="s">
        <v>245</v>
      </c>
      <c r="B222" s="51"/>
      <c r="C222" s="7">
        <v>27.5</v>
      </c>
      <c r="D222" s="7"/>
      <c r="E222" s="52">
        <f t="shared" si="68"/>
        <v>27.5</v>
      </c>
      <c r="F222" s="51"/>
      <c r="G222" s="7"/>
      <c r="H222" s="52">
        <f t="shared" si="69"/>
        <v>27.5</v>
      </c>
      <c r="I222" s="51"/>
      <c r="J222" s="7"/>
      <c r="K222" s="52">
        <f t="shared" si="70"/>
        <v>27.5</v>
      </c>
      <c r="L222" s="51"/>
      <c r="M222" s="7"/>
      <c r="N222" s="165">
        <f t="shared" si="71"/>
        <v>27.5</v>
      </c>
    </row>
    <row r="223" spans="1:14" ht="12.75">
      <c r="A223" s="82" t="s">
        <v>296</v>
      </c>
      <c r="B223" s="51"/>
      <c r="C223" s="7"/>
      <c r="D223" s="7"/>
      <c r="E223" s="52">
        <f t="shared" si="68"/>
        <v>0</v>
      </c>
      <c r="F223" s="51">
        <v>301.2</v>
      </c>
      <c r="G223" s="7"/>
      <c r="H223" s="52">
        <f t="shared" si="69"/>
        <v>301.2</v>
      </c>
      <c r="I223" s="51">
        <v>8.4</v>
      </c>
      <c r="J223" s="7"/>
      <c r="K223" s="52">
        <f t="shared" si="70"/>
        <v>309.59999999999997</v>
      </c>
      <c r="L223" s="51">
        <v>314.2</v>
      </c>
      <c r="M223" s="7"/>
      <c r="N223" s="165">
        <f t="shared" si="71"/>
        <v>623.8</v>
      </c>
    </row>
    <row r="224" spans="1:14" ht="12.75">
      <c r="A224" s="82" t="s">
        <v>247</v>
      </c>
      <c r="B224" s="51"/>
      <c r="C224" s="7">
        <v>223.5</v>
      </c>
      <c r="D224" s="7"/>
      <c r="E224" s="52">
        <f t="shared" si="68"/>
        <v>223.5</v>
      </c>
      <c r="F224" s="51"/>
      <c r="G224" s="7"/>
      <c r="H224" s="52">
        <f t="shared" si="69"/>
        <v>223.5</v>
      </c>
      <c r="I224" s="51"/>
      <c r="J224" s="7"/>
      <c r="K224" s="52">
        <f t="shared" si="70"/>
        <v>223.5</v>
      </c>
      <c r="L224" s="51"/>
      <c r="M224" s="7"/>
      <c r="N224" s="165">
        <f t="shared" si="71"/>
        <v>223.5</v>
      </c>
    </row>
    <row r="225" spans="1:14" ht="12.75">
      <c r="A225" s="82" t="s">
        <v>279</v>
      </c>
      <c r="B225" s="51"/>
      <c r="C225" s="7"/>
      <c r="D225" s="7"/>
      <c r="E225" s="52">
        <f t="shared" si="68"/>
        <v>0</v>
      </c>
      <c r="F225" s="51">
        <v>79.9</v>
      </c>
      <c r="G225" s="7"/>
      <c r="H225" s="52">
        <f t="shared" si="69"/>
        <v>79.9</v>
      </c>
      <c r="I225" s="51"/>
      <c r="J225" s="7"/>
      <c r="K225" s="52">
        <f t="shared" si="70"/>
        <v>79.9</v>
      </c>
      <c r="L225" s="51"/>
      <c r="M225" s="7"/>
      <c r="N225" s="165">
        <f t="shared" si="71"/>
        <v>79.9</v>
      </c>
    </row>
    <row r="226" spans="1:14" ht="12.75">
      <c r="A226" s="82" t="s">
        <v>248</v>
      </c>
      <c r="B226" s="51"/>
      <c r="C226" s="7">
        <v>257.8</v>
      </c>
      <c r="D226" s="7"/>
      <c r="E226" s="52">
        <f t="shared" si="68"/>
        <v>257.8</v>
      </c>
      <c r="F226" s="51"/>
      <c r="G226" s="7"/>
      <c r="H226" s="52">
        <f t="shared" si="69"/>
        <v>257.8</v>
      </c>
      <c r="I226" s="51"/>
      <c r="J226" s="7"/>
      <c r="K226" s="52">
        <f t="shared" si="70"/>
        <v>257.8</v>
      </c>
      <c r="L226" s="51"/>
      <c r="M226" s="7"/>
      <c r="N226" s="165">
        <f t="shared" si="71"/>
        <v>257.8</v>
      </c>
    </row>
    <row r="227" spans="1:14" ht="12.75">
      <c r="A227" s="82" t="s">
        <v>280</v>
      </c>
      <c r="B227" s="51"/>
      <c r="C227" s="7"/>
      <c r="D227" s="7"/>
      <c r="E227" s="52">
        <f t="shared" si="68"/>
        <v>0</v>
      </c>
      <c r="F227" s="51">
        <v>12.3</v>
      </c>
      <c r="G227" s="7"/>
      <c r="H227" s="52">
        <f t="shared" si="69"/>
        <v>12.3</v>
      </c>
      <c r="I227" s="51"/>
      <c r="J227" s="7"/>
      <c r="K227" s="52">
        <f t="shared" si="70"/>
        <v>12.3</v>
      </c>
      <c r="L227" s="51"/>
      <c r="M227" s="7"/>
      <c r="N227" s="165">
        <f t="shared" si="71"/>
        <v>12.3</v>
      </c>
    </row>
    <row r="228" spans="1:14" ht="12.75" hidden="1">
      <c r="A228" s="72" t="s">
        <v>118</v>
      </c>
      <c r="B228" s="51"/>
      <c r="C228" s="7"/>
      <c r="D228" s="7"/>
      <c r="E228" s="52">
        <f t="shared" si="68"/>
        <v>0</v>
      </c>
      <c r="F228" s="51"/>
      <c r="G228" s="7"/>
      <c r="H228" s="52">
        <f t="shared" si="69"/>
        <v>0</v>
      </c>
      <c r="I228" s="51"/>
      <c r="J228" s="7"/>
      <c r="K228" s="52">
        <f t="shared" si="70"/>
        <v>0</v>
      </c>
      <c r="L228" s="51"/>
      <c r="M228" s="7"/>
      <c r="N228" s="165">
        <f>K228+L228+M228</f>
        <v>0</v>
      </c>
    </row>
    <row r="229" spans="1:14" ht="12.75" hidden="1">
      <c r="A229" s="72" t="s">
        <v>119</v>
      </c>
      <c r="B229" s="51"/>
      <c r="C229" s="7"/>
      <c r="D229" s="7"/>
      <c r="E229" s="52">
        <f t="shared" si="68"/>
        <v>0</v>
      </c>
      <c r="F229" s="51"/>
      <c r="G229" s="7"/>
      <c r="H229" s="52">
        <f t="shared" si="69"/>
        <v>0</v>
      </c>
      <c r="I229" s="51"/>
      <c r="J229" s="7"/>
      <c r="K229" s="52">
        <f t="shared" si="70"/>
        <v>0</v>
      </c>
      <c r="L229" s="51"/>
      <c r="M229" s="7"/>
      <c r="N229" s="165">
        <f>K229+L229+M229</f>
        <v>0</v>
      </c>
    </row>
    <row r="230" spans="1:14" ht="12.75" hidden="1">
      <c r="A230" s="82" t="s">
        <v>120</v>
      </c>
      <c r="B230" s="51"/>
      <c r="C230" s="7"/>
      <c r="D230" s="7"/>
      <c r="E230" s="52">
        <f t="shared" si="68"/>
        <v>0</v>
      </c>
      <c r="F230" s="51"/>
      <c r="G230" s="7"/>
      <c r="H230" s="52">
        <f t="shared" si="69"/>
        <v>0</v>
      </c>
      <c r="I230" s="51"/>
      <c r="J230" s="7"/>
      <c r="K230" s="52">
        <f t="shared" si="70"/>
        <v>0</v>
      </c>
      <c r="L230" s="51"/>
      <c r="M230" s="7"/>
      <c r="N230" s="165">
        <f>K230+L230+M230</f>
        <v>0</v>
      </c>
    </row>
    <row r="231" spans="1:14" ht="12.75" hidden="1">
      <c r="A231" s="82" t="s">
        <v>244</v>
      </c>
      <c r="B231" s="51"/>
      <c r="C231" s="7"/>
      <c r="D231" s="7"/>
      <c r="E231" s="52">
        <f t="shared" si="68"/>
        <v>0</v>
      </c>
      <c r="F231" s="51"/>
      <c r="G231" s="7"/>
      <c r="H231" s="52">
        <f t="shared" si="69"/>
        <v>0</v>
      </c>
      <c r="I231" s="51"/>
      <c r="J231" s="7"/>
      <c r="K231" s="52">
        <f t="shared" si="70"/>
        <v>0</v>
      </c>
      <c r="L231" s="51"/>
      <c r="M231" s="7"/>
      <c r="N231" s="165">
        <f>K231+L231+M231</f>
        <v>0</v>
      </c>
    </row>
    <row r="232" spans="1:14" ht="12.75">
      <c r="A232" s="73" t="s">
        <v>249</v>
      </c>
      <c r="B232" s="51"/>
      <c r="C232" s="7">
        <f>18144.3+61.4</f>
        <v>18205.7</v>
      </c>
      <c r="D232" s="7"/>
      <c r="E232" s="52">
        <f t="shared" si="68"/>
        <v>18205.7</v>
      </c>
      <c r="F232" s="51"/>
      <c r="G232" s="7"/>
      <c r="H232" s="52">
        <f t="shared" si="69"/>
        <v>18205.7</v>
      </c>
      <c r="I232" s="51"/>
      <c r="J232" s="7"/>
      <c r="K232" s="52">
        <f t="shared" si="70"/>
        <v>18205.7</v>
      </c>
      <c r="L232" s="51"/>
      <c r="M232" s="7"/>
      <c r="N232" s="165">
        <f aca="true" t="shared" si="72" ref="N232:N240">K232+L232+M232</f>
        <v>18205.7</v>
      </c>
    </row>
    <row r="233" spans="1:14" ht="12.75">
      <c r="A233" s="73" t="s">
        <v>236</v>
      </c>
      <c r="B233" s="51"/>
      <c r="C233" s="7">
        <v>11340.8</v>
      </c>
      <c r="D233" s="7"/>
      <c r="E233" s="52">
        <f t="shared" si="68"/>
        <v>11340.8</v>
      </c>
      <c r="F233" s="51">
        <v>14818.3</v>
      </c>
      <c r="G233" s="7"/>
      <c r="H233" s="52">
        <f t="shared" si="69"/>
        <v>26159.1</v>
      </c>
      <c r="I233" s="51">
        <f>14038.7+45.7+15557</f>
        <v>29641.4</v>
      </c>
      <c r="J233" s="7"/>
      <c r="K233" s="52">
        <f t="shared" si="70"/>
        <v>55800.5</v>
      </c>
      <c r="L233" s="51">
        <f>24231.1+9447.3</f>
        <v>33678.399999999994</v>
      </c>
      <c r="M233" s="7"/>
      <c r="N233" s="165">
        <f t="shared" si="72"/>
        <v>89478.9</v>
      </c>
    </row>
    <row r="234" spans="1:14" ht="12.75">
      <c r="A234" s="73" t="s">
        <v>270</v>
      </c>
      <c r="B234" s="51"/>
      <c r="C234" s="7"/>
      <c r="D234" s="7"/>
      <c r="E234" s="52">
        <f t="shared" si="68"/>
        <v>0</v>
      </c>
      <c r="F234" s="51">
        <v>31084.5</v>
      </c>
      <c r="G234" s="7"/>
      <c r="H234" s="52">
        <f t="shared" si="69"/>
        <v>31084.5</v>
      </c>
      <c r="I234" s="51"/>
      <c r="J234" s="7"/>
      <c r="K234" s="52">
        <f t="shared" si="70"/>
        <v>31084.5</v>
      </c>
      <c r="L234" s="51"/>
      <c r="M234" s="7"/>
      <c r="N234" s="165">
        <f t="shared" si="72"/>
        <v>31084.5</v>
      </c>
    </row>
    <row r="235" spans="1:14" ht="12.75">
      <c r="A235" s="82" t="s">
        <v>251</v>
      </c>
      <c r="B235" s="51"/>
      <c r="C235" s="7">
        <v>8352.2</v>
      </c>
      <c r="D235" s="7"/>
      <c r="E235" s="52">
        <f t="shared" si="68"/>
        <v>8352.2</v>
      </c>
      <c r="F235" s="51"/>
      <c r="G235" s="7"/>
      <c r="H235" s="52">
        <f t="shared" si="69"/>
        <v>8352.2</v>
      </c>
      <c r="I235" s="51"/>
      <c r="J235" s="7"/>
      <c r="K235" s="52">
        <f t="shared" si="70"/>
        <v>8352.2</v>
      </c>
      <c r="L235" s="51"/>
      <c r="M235" s="7"/>
      <c r="N235" s="165">
        <f t="shared" si="72"/>
        <v>8352.2</v>
      </c>
    </row>
    <row r="236" spans="1:14" ht="12.75">
      <c r="A236" s="82" t="s">
        <v>272</v>
      </c>
      <c r="B236" s="51"/>
      <c r="C236" s="7">
        <v>5223.1</v>
      </c>
      <c r="D236" s="7"/>
      <c r="E236" s="52">
        <f t="shared" si="68"/>
        <v>5223.1</v>
      </c>
      <c r="F236" s="51">
        <v>6578</v>
      </c>
      <c r="G236" s="7"/>
      <c r="H236" s="52">
        <f t="shared" si="69"/>
        <v>11801.1</v>
      </c>
      <c r="I236" s="51">
        <f>4346.2+4681</f>
        <v>9027.2</v>
      </c>
      <c r="J236" s="7"/>
      <c r="K236" s="52">
        <f t="shared" si="70"/>
        <v>20828.300000000003</v>
      </c>
      <c r="L236" s="51">
        <f>5948.2+5521.6</f>
        <v>11469.8</v>
      </c>
      <c r="M236" s="7"/>
      <c r="N236" s="165">
        <f t="shared" si="72"/>
        <v>32298.100000000002</v>
      </c>
    </row>
    <row r="237" spans="1:14" ht="12.75">
      <c r="A237" s="82" t="s">
        <v>271</v>
      </c>
      <c r="B237" s="51"/>
      <c r="C237" s="7"/>
      <c r="D237" s="7"/>
      <c r="E237" s="52">
        <f t="shared" si="68"/>
        <v>0</v>
      </c>
      <c r="F237" s="51">
        <v>12101.3</v>
      </c>
      <c r="G237" s="7"/>
      <c r="H237" s="52">
        <f t="shared" si="69"/>
        <v>12101.3</v>
      </c>
      <c r="I237" s="51"/>
      <c r="J237" s="7"/>
      <c r="K237" s="52">
        <f t="shared" si="70"/>
        <v>12101.3</v>
      </c>
      <c r="L237" s="51"/>
      <c r="M237" s="7"/>
      <c r="N237" s="165">
        <f t="shared" si="72"/>
        <v>12101.3</v>
      </c>
    </row>
    <row r="238" spans="1:14" ht="12.75">
      <c r="A238" s="82" t="s">
        <v>254</v>
      </c>
      <c r="B238" s="51"/>
      <c r="C238" s="7">
        <v>16014.5</v>
      </c>
      <c r="D238" s="7"/>
      <c r="E238" s="52">
        <f t="shared" si="68"/>
        <v>16014.5</v>
      </c>
      <c r="F238" s="51"/>
      <c r="G238" s="7"/>
      <c r="H238" s="52">
        <f t="shared" si="69"/>
        <v>16014.5</v>
      </c>
      <c r="I238" s="51"/>
      <c r="J238" s="7"/>
      <c r="K238" s="52">
        <f t="shared" si="70"/>
        <v>16014.5</v>
      </c>
      <c r="L238" s="51"/>
      <c r="M238" s="7"/>
      <c r="N238" s="165">
        <f t="shared" si="72"/>
        <v>16014.5</v>
      </c>
    </row>
    <row r="239" spans="1:14" ht="12.75">
      <c r="A239" s="82" t="s">
        <v>235</v>
      </c>
      <c r="B239" s="51"/>
      <c r="C239" s="7">
        <v>3618.8</v>
      </c>
      <c r="D239" s="7"/>
      <c r="E239" s="52">
        <f t="shared" si="68"/>
        <v>3618.8</v>
      </c>
      <c r="F239" s="51">
        <v>7497.1</v>
      </c>
      <c r="G239" s="7"/>
      <c r="H239" s="52">
        <f t="shared" si="69"/>
        <v>11115.900000000001</v>
      </c>
      <c r="I239" s="51">
        <f>4889.9+5369+5862</f>
        <v>16120.9</v>
      </c>
      <c r="J239" s="7"/>
      <c r="K239" s="52">
        <f t="shared" si="70"/>
        <v>27236.800000000003</v>
      </c>
      <c r="L239" s="51">
        <v>10680.9</v>
      </c>
      <c r="M239" s="7"/>
      <c r="N239" s="165">
        <f t="shared" si="72"/>
        <v>37917.700000000004</v>
      </c>
    </row>
    <row r="240" spans="1:14" ht="12.75">
      <c r="A240" s="82" t="s">
        <v>273</v>
      </c>
      <c r="B240" s="51"/>
      <c r="C240" s="7"/>
      <c r="D240" s="7"/>
      <c r="E240" s="52">
        <f t="shared" si="68"/>
        <v>0</v>
      </c>
      <c r="F240" s="51">
        <v>15791.6</v>
      </c>
      <c r="G240" s="7"/>
      <c r="H240" s="52">
        <f t="shared" si="69"/>
        <v>15791.6</v>
      </c>
      <c r="I240" s="51"/>
      <c r="J240" s="7"/>
      <c r="K240" s="52">
        <f t="shared" si="70"/>
        <v>15791.6</v>
      </c>
      <c r="L240" s="51"/>
      <c r="M240" s="7"/>
      <c r="N240" s="165">
        <f t="shared" si="72"/>
        <v>15791.6</v>
      </c>
    </row>
    <row r="241" spans="1:14" ht="12.75" hidden="1">
      <c r="A241" s="73" t="s">
        <v>215</v>
      </c>
      <c r="B241" s="51"/>
      <c r="C241" s="7"/>
      <c r="D241" s="7"/>
      <c r="E241" s="52">
        <f t="shared" si="68"/>
        <v>0</v>
      </c>
      <c r="F241" s="51"/>
      <c r="G241" s="7"/>
      <c r="H241" s="52">
        <f t="shared" si="69"/>
        <v>0</v>
      </c>
      <c r="I241" s="51"/>
      <c r="J241" s="7"/>
      <c r="K241" s="52">
        <f t="shared" si="70"/>
        <v>0</v>
      </c>
      <c r="L241" s="51"/>
      <c r="M241" s="7"/>
      <c r="N241" s="165">
        <f aca="true" t="shared" si="73" ref="N241:N247">K241+L241+M241</f>
        <v>0</v>
      </c>
    </row>
    <row r="242" spans="1:14" ht="12.75" hidden="1">
      <c r="A242" s="73" t="s">
        <v>121</v>
      </c>
      <c r="B242" s="51"/>
      <c r="C242" s="7"/>
      <c r="D242" s="7"/>
      <c r="E242" s="52">
        <f t="shared" si="68"/>
        <v>0</v>
      </c>
      <c r="F242" s="51"/>
      <c r="G242" s="7"/>
      <c r="H242" s="52">
        <f t="shared" si="69"/>
        <v>0</v>
      </c>
      <c r="I242" s="51"/>
      <c r="J242" s="7"/>
      <c r="K242" s="52">
        <f t="shared" si="70"/>
        <v>0</v>
      </c>
      <c r="L242" s="51"/>
      <c r="M242" s="7"/>
      <c r="N242" s="165">
        <f t="shared" si="73"/>
        <v>0</v>
      </c>
    </row>
    <row r="243" spans="1:14" ht="12.75" hidden="1">
      <c r="A243" s="73" t="s">
        <v>122</v>
      </c>
      <c r="B243" s="51"/>
      <c r="C243" s="7"/>
      <c r="D243" s="7"/>
      <c r="E243" s="52">
        <f t="shared" si="68"/>
        <v>0</v>
      </c>
      <c r="F243" s="51"/>
      <c r="G243" s="7"/>
      <c r="H243" s="52">
        <f t="shared" si="69"/>
        <v>0</v>
      </c>
      <c r="I243" s="51"/>
      <c r="J243" s="7"/>
      <c r="K243" s="52">
        <f t="shared" si="70"/>
        <v>0</v>
      </c>
      <c r="L243" s="51"/>
      <c r="M243" s="7"/>
      <c r="N243" s="165">
        <f t="shared" si="73"/>
        <v>0</v>
      </c>
    </row>
    <row r="244" spans="1:14" ht="12.75">
      <c r="A244" s="73" t="s">
        <v>306</v>
      </c>
      <c r="B244" s="51"/>
      <c r="C244" s="7"/>
      <c r="D244" s="7"/>
      <c r="E244" s="52">
        <f t="shared" si="68"/>
        <v>0</v>
      </c>
      <c r="F244" s="51"/>
      <c r="G244" s="7"/>
      <c r="H244" s="52">
        <f t="shared" si="69"/>
        <v>0</v>
      </c>
      <c r="I244" s="51">
        <v>196.2</v>
      </c>
      <c r="J244" s="7"/>
      <c r="K244" s="52">
        <f t="shared" si="70"/>
        <v>196.2</v>
      </c>
      <c r="L244" s="51"/>
      <c r="M244" s="7"/>
      <c r="N244" s="165">
        <f t="shared" si="73"/>
        <v>196.2</v>
      </c>
    </row>
    <row r="245" spans="1:14" ht="12.75">
      <c r="A245" s="73" t="s">
        <v>123</v>
      </c>
      <c r="B245" s="51">
        <v>18000</v>
      </c>
      <c r="C245" s="7">
        <v>7500</v>
      </c>
      <c r="D245" s="7">
        <v>-18000</v>
      </c>
      <c r="E245" s="52">
        <f t="shared" si="68"/>
        <v>7500</v>
      </c>
      <c r="F245" s="51">
        <v>-7500</v>
      </c>
      <c r="G245" s="7"/>
      <c r="H245" s="52">
        <f t="shared" si="69"/>
        <v>0</v>
      </c>
      <c r="I245" s="51"/>
      <c r="J245" s="7"/>
      <c r="K245" s="52">
        <f t="shared" si="70"/>
        <v>0</v>
      </c>
      <c r="L245" s="51"/>
      <c r="M245" s="7"/>
      <c r="N245" s="165">
        <f t="shared" si="73"/>
        <v>0</v>
      </c>
    </row>
    <row r="246" spans="1:14" ht="12.75">
      <c r="A246" s="73" t="s">
        <v>108</v>
      </c>
      <c r="B246" s="68">
        <v>22530.7</v>
      </c>
      <c r="C246" s="7">
        <f>-2000-2460.7+10680.5+2659.7-85.6</f>
        <v>8793.9</v>
      </c>
      <c r="D246" s="7">
        <f>-150-500</f>
        <v>-650</v>
      </c>
      <c r="E246" s="52">
        <f t="shared" si="68"/>
        <v>30674.6</v>
      </c>
      <c r="F246" s="51">
        <f>257+10000-400</f>
        <v>9857</v>
      </c>
      <c r="G246" s="7"/>
      <c r="H246" s="52">
        <f t="shared" si="69"/>
        <v>40531.6</v>
      </c>
      <c r="I246" s="51"/>
      <c r="J246" s="7"/>
      <c r="K246" s="52">
        <f t="shared" si="70"/>
        <v>40531.6</v>
      </c>
      <c r="L246" s="68">
        <v>5</v>
      </c>
      <c r="M246" s="7"/>
      <c r="N246" s="165">
        <f t="shared" si="73"/>
        <v>40536.6</v>
      </c>
    </row>
    <row r="247" spans="1:14" ht="12.75">
      <c r="A247" s="73" t="s">
        <v>216</v>
      </c>
      <c r="B247" s="51">
        <v>14000</v>
      </c>
      <c r="C247" s="7">
        <v>10680.5</v>
      </c>
      <c r="D247" s="7">
        <f>-150-500</f>
        <v>-650</v>
      </c>
      <c r="E247" s="52">
        <f t="shared" si="68"/>
        <v>24030.5</v>
      </c>
      <c r="F247" s="51">
        <f>10000-400</f>
        <v>9600</v>
      </c>
      <c r="G247" s="7"/>
      <c r="H247" s="52">
        <f t="shared" si="69"/>
        <v>33630.5</v>
      </c>
      <c r="I247" s="51"/>
      <c r="J247" s="7"/>
      <c r="K247" s="52">
        <f t="shared" si="70"/>
        <v>33630.5</v>
      </c>
      <c r="L247" s="51"/>
      <c r="M247" s="7"/>
      <c r="N247" s="165">
        <f t="shared" si="73"/>
        <v>33630.5</v>
      </c>
    </row>
    <row r="248" spans="1:14" ht="12.75">
      <c r="A248" s="73" t="s">
        <v>93</v>
      </c>
      <c r="B248" s="51">
        <f>SUM(B249:B255)</f>
        <v>50000</v>
      </c>
      <c r="C248" s="102">
        <f>SUM(C249:C255)</f>
        <v>25800</v>
      </c>
      <c r="D248" s="7"/>
      <c r="E248" s="52">
        <f t="shared" si="68"/>
        <v>75800</v>
      </c>
      <c r="F248" s="63">
        <f>SUM(F249:F255)</f>
        <v>-200</v>
      </c>
      <c r="G248" s="7">
        <f>SUM(G249:G255)</f>
        <v>-29060</v>
      </c>
      <c r="H248" s="52">
        <f>SUM(H249:H255)</f>
        <v>46540</v>
      </c>
      <c r="I248" s="51">
        <f>SUM(I249:I255)</f>
        <v>-54</v>
      </c>
      <c r="J248" s="102">
        <f>SUM(J249:J255)</f>
        <v>-6161</v>
      </c>
      <c r="K248" s="52">
        <f t="shared" si="70"/>
        <v>40325</v>
      </c>
      <c r="L248" s="51">
        <f>SUM(L249:L255)</f>
        <v>500</v>
      </c>
      <c r="M248" s="14"/>
      <c r="N248" s="52">
        <f>SUM(N249:N255)</f>
        <v>40825</v>
      </c>
    </row>
    <row r="249" spans="1:14" ht="12.75">
      <c r="A249" s="73" t="s">
        <v>217</v>
      </c>
      <c r="B249" s="51">
        <v>5000</v>
      </c>
      <c r="C249" s="7">
        <v>2500</v>
      </c>
      <c r="D249" s="7"/>
      <c r="E249" s="52">
        <f t="shared" si="68"/>
        <v>7500</v>
      </c>
      <c r="F249" s="51"/>
      <c r="G249" s="7">
        <v>-2560</v>
      </c>
      <c r="H249" s="52">
        <f aca="true" t="shared" si="74" ref="H249:H255">SUM(E249:G249)</f>
        <v>4940</v>
      </c>
      <c r="I249" s="51"/>
      <c r="J249" s="7"/>
      <c r="K249" s="52">
        <f t="shared" si="70"/>
        <v>4940</v>
      </c>
      <c r="L249" s="51"/>
      <c r="M249" s="7"/>
      <c r="N249" s="165">
        <f aca="true" t="shared" si="75" ref="N249:N255">SUM(K249:M249)</f>
        <v>4940</v>
      </c>
    </row>
    <row r="250" spans="1:14" ht="12.75">
      <c r="A250" s="73" t="s">
        <v>124</v>
      </c>
      <c r="B250" s="51">
        <v>5000</v>
      </c>
      <c r="C250" s="7">
        <v>3500</v>
      </c>
      <c r="D250" s="7"/>
      <c r="E250" s="52">
        <f t="shared" si="68"/>
        <v>8500</v>
      </c>
      <c r="F250" s="51"/>
      <c r="G250" s="7"/>
      <c r="H250" s="52">
        <f t="shared" si="74"/>
        <v>8500</v>
      </c>
      <c r="I250" s="51"/>
      <c r="J250" s="7"/>
      <c r="K250" s="52">
        <f t="shared" si="70"/>
        <v>8500</v>
      </c>
      <c r="L250" s="51"/>
      <c r="M250" s="7"/>
      <c r="N250" s="165">
        <f t="shared" si="75"/>
        <v>8500</v>
      </c>
    </row>
    <row r="251" spans="1:14" ht="12.75">
      <c r="A251" s="73" t="s">
        <v>125</v>
      </c>
      <c r="B251" s="51">
        <v>1000</v>
      </c>
      <c r="C251" s="9">
        <v>2300</v>
      </c>
      <c r="D251" s="7"/>
      <c r="E251" s="52">
        <f t="shared" si="68"/>
        <v>3300</v>
      </c>
      <c r="F251" s="51"/>
      <c r="G251" s="7"/>
      <c r="H251" s="52">
        <f t="shared" si="74"/>
        <v>3300</v>
      </c>
      <c r="I251" s="51"/>
      <c r="J251" s="7">
        <v>-175</v>
      </c>
      <c r="K251" s="52">
        <f t="shared" si="70"/>
        <v>3125</v>
      </c>
      <c r="L251" s="51">
        <v>-500</v>
      </c>
      <c r="M251" s="7"/>
      <c r="N251" s="165">
        <f t="shared" si="75"/>
        <v>2625</v>
      </c>
    </row>
    <row r="252" spans="1:14" ht="12.75">
      <c r="A252" s="73" t="s">
        <v>126</v>
      </c>
      <c r="B252" s="51">
        <v>2000</v>
      </c>
      <c r="C252" s="7">
        <v>500</v>
      </c>
      <c r="D252" s="7"/>
      <c r="E252" s="52">
        <f t="shared" si="68"/>
        <v>2500</v>
      </c>
      <c r="F252" s="51"/>
      <c r="G252" s="7"/>
      <c r="H252" s="52">
        <f t="shared" si="74"/>
        <v>2500</v>
      </c>
      <c r="I252" s="51"/>
      <c r="J252" s="7"/>
      <c r="K252" s="52">
        <f t="shared" si="70"/>
        <v>2500</v>
      </c>
      <c r="L252" s="51"/>
      <c r="M252" s="7"/>
      <c r="N252" s="165">
        <f t="shared" si="75"/>
        <v>2500</v>
      </c>
    </row>
    <row r="253" spans="1:14" ht="12.75">
      <c r="A253" s="73" t="s">
        <v>127</v>
      </c>
      <c r="B253" s="51">
        <v>5000</v>
      </c>
      <c r="C253" s="7">
        <v>8800</v>
      </c>
      <c r="D253" s="7"/>
      <c r="E253" s="52">
        <f t="shared" si="68"/>
        <v>13800</v>
      </c>
      <c r="F253" s="51"/>
      <c r="G253" s="7"/>
      <c r="H253" s="52">
        <f t="shared" si="74"/>
        <v>13800</v>
      </c>
      <c r="I253" s="51"/>
      <c r="J253" s="7"/>
      <c r="K253" s="52">
        <f t="shared" si="70"/>
        <v>13800</v>
      </c>
      <c r="L253" s="51">
        <v>1000</v>
      </c>
      <c r="M253" s="7"/>
      <c r="N253" s="165">
        <f t="shared" si="75"/>
        <v>14800</v>
      </c>
    </row>
    <row r="254" spans="1:14" ht="12.75">
      <c r="A254" s="73" t="s">
        <v>128</v>
      </c>
      <c r="B254" s="51">
        <v>26500</v>
      </c>
      <c r="C254" s="7">
        <v>0</v>
      </c>
      <c r="D254" s="7"/>
      <c r="E254" s="52">
        <f t="shared" si="68"/>
        <v>26500</v>
      </c>
      <c r="F254" s="51"/>
      <c r="G254" s="7">
        <v>-26500</v>
      </c>
      <c r="H254" s="52">
        <f t="shared" si="74"/>
        <v>0</v>
      </c>
      <c r="I254" s="51"/>
      <c r="J254" s="7"/>
      <c r="K254" s="52">
        <f t="shared" si="70"/>
        <v>0</v>
      </c>
      <c r="L254" s="51"/>
      <c r="M254" s="7"/>
      <c r="N254" s="165">
        <f t="shared" si="75"/>
        <v>0</v>
      </c>
    </row>
    <row r="255" spans="1:14" ht="13.5" thickBot="1">
      <c r="A255" s="158" t="s">
        <v>129</v>
      </c>
      <c r="B255" s="159">
        <v>5500</v>
      </c>
      <c r="C255" s="160">
        <v>8200</v>
      </c>
      <c r="D255" s="160"/>
      <c r="E255" s="161">
        <f t="shared" si="68"/>
        <v>13700</v>
      </c>
      <c r="F255" s="159">
        <v>-200</v>
      </c>
      <c r="G255" s="160"/>
      <c r="H255" s="161">
        <f t="shared" si="74"/>
        <v>13500</v>
      </c>
      <c r="I255" s="159">
        <v>-54</v>
      </c>
      <c r="J255" s="160">
        <v>-5986</v>
      </c>
      <c r="K255" s="161">
        <f t="shared" si="70"/>
        <v>7460</v>
      </c>
      <c r="L255" s="159"/>
      <c r="M255" s="160"/>
      <c r="N255" s="177">
        <f t="shared" si="75"/>
        <v>7460</v>
      </c>
    </row>
    <row r="256" spans="1:14" ht="12.75">
      <c r="A256" s="80" t="s">
        <v>75</v>
      </c>
      <c r="B256" s="61">
        <f aca="true" t="shared" si="76" ref="B256:N256">SUM(B258:B277)</f>
        <v>186592.8</v>
      </c>
      <c r="C256" s="13">
        <f t="shared" si="76"/>
        <v>62931.600000000006</v>
      </c>
      <c r="D256" s="13">
        <f t="shared" si="76"/>
        <v>-19600</v>
      </c>
      <c r="E256" s="62">
        <f t="shared" si="76"/>
        <v>229924.4</v>
      </c>
      <c r="F256" s="61">
        <f t="shared" si="76"/>
        <v>9079.299999999994</v>
      </c>
      <c r="G256" s="13">
        <f t="shared" si="76"/>
        <v>-157.30000000000018</v>
      </c>
      <c r="H256" s="62">
        <f t="shared" si="76"/>
        <v>238846.4</v>
      </c>
      <c r="I256" s="61">
        <f t="shared" si="76"/>
        <v>1727.5000000000011</v>
      </c>
      <c r="J256" s="13">
        <f t="shared" si="76"/>
        <v>6161</v>
      </c>
      <c r="K256" s="62">
        <f t="shared" si="76"/>
        <v>246734.9</v>
      </c>
      <c r="L256" s="61">
        <f t="shared" si="76"/>
        <v>-13211.9</v>
      </c>
      <c r="M256" s="13">
        <f t="shared" si="76"/>
        <v>0</v>
      </c>
      <c r="N256" s="171">
        <f t="shared" si="76"/>
        <v>233523</v>
      </c>
    </row>
    <row r="257" spans="1:14" ht="12.75">
      <c r="A257" s="82" t="s">
        <v>38</v>
      </c>
      <c r="B257" s="51"/>
      <c r="C257" s="7"/>
      <c r="D257" s="7"/>
      <c r="E257" s="52"/>
      <c r="F257" s="51"/>
      <c r="G257" s="7"/>
      <c r="H257" s="52"/>
      <c r="I257" s="51"/>
      <c r="J257" s="7"/>
      <c r="K257" s="52"/>
      <c r="L257" s="51"/>
      <c r="M257" s="7"/>
      <c r="N257" s="165"/>
    </row>
    <row r="258" spans="1:14" ht="12.75" hidden="1">
      <c r="A258" s="73" t="s">
        <v>130</v>
      </c>
      <c r="B258" s="51"/>
      <c r="C258" s="7"/>
      <c r="D258" s="7"/>
      <c r="E258" s="52">
        <f>B258+C258+D258</f>
        <v>0</v>
      </c>
      <c r="F258" s="51"/>
      <c r="G258" s="7"/>
      <c r="H258" s="52">
        <f>E258+F258+G258</f>
        <v>0</v>
      </c>
      <c r="I258" s="51"/>
      <c r="J258" s="7"/>
      <c r="K258" s="52">
        <f>H258+I258+J258</f>
        <v>0</v>
      </c>
      <c r="L258" s="51"/>
      <c r="M258" s="7"/>
      <c r="N258" s="165">
        <f>K258+L258+M258</f>
        <v>0</v>
      </c>
    </row>
    <row r="259" spans="1:14" ht="12.75" hidden="1">
      <c r="A259" s="73" t="s">
        <v>228</v>
      </c>
      <c r="B259" s="51"/>
      <c r="C259" s="7"/>
      <c r="D259" s="7"/>
      <c r="E259" s="52">
        <f aca="true" t="shared" si="77" ref="E259:E277">B259+C259+D259</f>
        <v>0</v>
      </c>
      <c r="F259" s="51"/>
      <c r="G259" s="7"/>
      <c r="H259" s="52">
        <f aca="true" t="shared" si="78" ref="H259:H277">E259+F259+G259</f>
        <v>0</v>
      </c>
      <c r="I259" s="51"/>
      <c r="J259" s="7"/>
      <c r="K259" s="52">
        <f aca="true" t="shared" si="79" ref="K259:K277">H259+I259+J259</f>
        <v>0</v>
      </c>
      <c r="L259" s="51"/>
      <c r="M259" s="7"/>
      <c r="N259" s="165">
        <f aca="true" t="shared" si="80" ref="N259:N277">K259+L259+M259</f>
        <v>0</v>
      </c>
    </row>
    <row r="260" spans="1:14" ht="12.75" hidden="1">
      <c r="A260" s="73" t="s">
        <v>131</v>
      </c>
      <c r="B260" s="51"/>
      <c r="C260" s="7"/>
      <c r="D260" s="7"/>
      <c r="E260" s="52">
        <f t="shared" si="77"/>
        <v>0</v>
      </c>
      <c r="F260" s="51"/>
      <c r="G260" s="7"/>
      <c r="H260" s="52">
        <f t="shared" si="78"/>
        <v>0</v>
      </c>
      <c r="I260" s="51"/>
      <c r="J260" s="7"/>
      <c r="K260" s="52">
        <f t="shared" si="79"/>
        <v>0</v>
      </c>
      <c r="L260" s="51"/>
      <c r="M260" s="7"/>
      <c r="N260" s="165">
        <f t="shared" si="80"/>
        <v>0</v>
      </c>
    </row>
    <row r="261" spans="1:14" ht="12.75" hidden="1">
      <c r="A261" s="82" t="s">
        <v>120</v>
      </c>
      <c r="B261" s="51"/>
      <c r="C261" s="7"/>
      <c r="D261" s="7"/>
      <c r="E261" s="52">
        <f t="shared" si="77"/>
        <v>0</v>
      </c>
      <c r="F261" s="51"/>
      <c r="G261" s="7"/>
      <c r="H261" s="52">
        <f t="shared" si="78"/>
        <v>0</v>
      </c>
      <c r="I261" s="51"/>
      <c r="J261" s="7"/>
      <c r="K261" s="52">
        <f t="shared" si="79"/>
        <v>0</v>
      </c>
      <c r="L261" s="51"/>
      <c r="M261" s="7"/>
      <c r="N261" s="165">
        <f t="shared" si="80"/>
        <v>0</v>
      </c>
    </row>
    <row r="262" spans="1:14" ht="12.75" hidden="1">
      <c r="A262" s="72" t="s">
        <v>119</v>
      </c>
      <c r="B262" s="51"/>
      <c r="C262" s="7"/>
      <c r="D262" s="7"/>
      <c r="E262" s="52">
        <f t="shared" si="77"/>
        <v>0</v>
      </c>
      <c r="F262" s="51"/>
      <c r="G262" s="7"/>
      <c r="H262" s="52">
        <f t="shared" si="78"/>
        <v>0</v>
      </c>
      <c r="I262" s="51"/>
      <c r="J262" s="7"/>
      <c r="K262" s="52">
        <f t="shared" si="79"/>
        <v>0</v>
      </c>
      <c r="L262" s="51"/>
      <c r="M262" s="7"/>
      <c r="N262" s="165">
        <f t="shared" si="80"/>
        <v>0</v>
      </c>
    </row>
    <row r="263" spans="1:14" ht="12.75" hidden="1">
      <c r="A263" s="73" t="s">
        <v>132</v>
      </c>
      <c r="B263" s="51"/>
      <c r="C263" s="7"/>
      <c r="D263" s="7"/>
      <c r="E263" s="52">
        <f t="shared" si="77"/>
        <v>0</v>
      </c>
      <c r="F263" s="51"/>
      <c r="G263" s="7"/>
      <c r="H263" s="52">
        <f t="shared" si="78"/>
        <v>0</v>
      </c>
      <c r="I263" s="51"/>
      <c r="J263" s="7"/>
      <c r="K263" s="52">
        <f t="shared" si="79"/>
        <v>0</v>
      </c>
      <c r="L263" s="51"/>
      <c r="M263" s="7"/>
      <c r="N263" s="165">
        <f t="shared" si="80"/>
        <v>0</v>
      </c>
    </row>
    <row r="264" spans="1:14" ht="12.75">
      <c r="A264" s="82" t="s">
        <v>255</v>
      </c>
      <c r="B264" s="51"/>
      <c r="C264" s="7">
        <v>2501.7</v>
      </c>
      <c r="D264" s="7"/>
      <c r="E264" s="52">
        <f t="shared" si="77"/>
        <v>2501.7</v>
      </c>
      <c r="F264" s="51"/>
      <c r="G264" s="7"/>
      <c r="H264" s="52">
        <f t="shared" si="78"/>
        <v>2501.7</v>
      </c>
      <c r="I264" s="51"/>
      <c r="J264" s="7"/>
      <c r="K264" s="52">
        <f t="shared" si="79"/>
        <v>2501.7</v>
      </c>
      <c r="L264" s="51"/>
      <c r="M264" s="7"/>
      <c r="N264" s="165">
        <f t="shared" si="80"/>
        <v>2501.7</v>
      </c>
    </row>
    <row r="265" spans="1:14" ht="12.75">
      <c r="A265" s="82" t="s">
        <v>250</v>
      </c>
      <c r="B265" s="51"/>
      <c r="C265" s="7">
        <v>2136.9</v>
      </c>
      <c r="D265" s="7"/>
      <c r="E265" s="52">
        <f t="shared" si="77"/>
        <v>2136.9</v>
      </c>
      <c r="F265" s="51"/>
      <c r="G265" s="7"/>
      <c r="H265" s="52">
        <f t="shared" si="78"/>
        <v>2136.9</v>
      </c>
      <c r="I265" s="51"/>
      <c r="J265" s="7"/>
      <c r="K265" s="52">
        <f t="shared" si="79"/>
        <v>2136.9</v>
      </c>
      <c r="L265" s="51"/>
      <c r="M265" s="7"/>
      <c r="N265" s="165">
        <f t="shared" si="80"/>
        <v>2136.9</v>
      </c>
    </row>
    <row r="266" spans="1:14" ht="12.75">
      <c r="A266" s="73" t="s">
        <v>270</v>
      </c>
      <c r="B266" s="51"/>
      <c r="C266" s="7"/>
      <c r="D266" s="7"/>
      <c r="E266" s="52">
        <f t="shared" si="77"/>
        <v>0</v>
      </c>
      <c r="F266" s="51">
        <v>5485.5</v>
      </c>
      <c r="G266" s="7"/>
      <c r="H266" s="52">
        <f t="shared" si="78"/>
        <v>5485.5</v>
      </c>
      <c r="I266" s="51"/>
      <c r="J266" s="7"/>
      <c r="K266" s="52">
        <f t="shared" si="79"/>
        <v>5485.5</v>
      </c>
      <c r="L266" s="51"/>
      <c r="M266" s="7"/>
      <c r="N266" s="165">
        <f t="shared" si="80"/>
        <v>5485.5</v>
      </c>
    </row>
    <row r="267" spans="1:14" ht="12.75">
      <c r="A267" s="82" t="s">
        <v>252</v>
      </c>
      <c r="B267" s="51"/>
      <c r="C267" s="7">
        <v>1867.3</v>
      </c>
      <c r="D267" s="7"/>
      <c r="E267" s="52">
        <f t="shared" si="77"/>
        <v>1867.3</v>
      </c>
      <c r="F267" s="51"/>
      <c r="G267" s="7"/>
      <c r="H267" s="52">
        <f t="shared" si="78"/>
        <v>1867.3</v>
      </c>
      <c r="I267" s="51"/>
      <c r="J267" s="7"/>
      <c r="K267" s="52">
        <f t="shared" si="79"/>
        <v>1867.3</v>
      </c>
      <c r="L267" s="51"/>
      <c r="M267" s="7"/>
      <c r="N267" s="165">
        <f t="shared" si="80"/>
        <v>1867.3</v>
      </c>
    </row>
    <row r="268" spans="1:14" ht="12.75">
      <c r="A268" s="82" t="s">
        <v>271</v>
      </c>
      <c r="B268" s="51"/>
      <c r="C268" s="7"/>
      <c r="D268" s="7"/>
      <c r="E268" s="52">
        <f t="shared" si="77"/>
        <v>0</v>
      </c>
      <c r="F268" s="51">
        <v>1196.9</v>
      </c>
      <c r="G268" s="7"/>
      <c r="H268" s="52">
        <f t="shared" si="78"/>
        <v>1196.9</v>
      </c>
      <c r="I268" s="51"/>
      <c r="J268" s="7"/>
      <c r="K268" s="52">
        <f t="shared" si="79"/>
        <v>1196.9</v>
      </c>
      <c r="L268" s="51"/>
      <c r="M268" s="7"/>
      <c r="N268" s="165">
        <f t="shared" si="80"/>
        <v>1196.9</v>
      </c>
    </row>
    <row r="269" spans="1:14" ht="12.75">
      <c r="A269" s="82" t="s">
        <v>253</v>
      </c>
      <c r="B269" s="51"/>
      <c r="C269" s="7">
        <v>2345.7</v>
      </c>
      <c r="D269" s="7"/>
      <c r="E269" s="52">
        <f t="shared" si="77"/>
        <v>2345.7</v>
      </c>
      <c r="F269" s="51"/>
      <c r="G269" s="7"/>
      <c r="H269" s="52">
        <f t="shared" si="78"/>
        <v>2345.7</v>
      </c>
      <c r="I269" s="51"/>
      <c r="J269" s="7"/>
      <c r="K269" s="52">
        <f t="shared" si="79"/>
        <v>2345.7</v>
      </c>
      <c r="L269" s="51"/>
      <c r="M269" s="7"/>
      <c r="N269" s="165">
        <f t="shared" si="80"/>
        <v>2345.7</v>
      </c>
    </row>
    <row r="270" spans="1:14" ht="12.75">
      <c r="A270" s="82" t="s">
        <v>273</v>
      </c>
      <c r="B270" s="51"/>
      <c r="C270" s="7"/>
      <c r="D270" s="7"/>
      <c r="E270" s="52">
        <f t="shared" si="77"/>
        <v>0</v>
      </c>
      <c r="F270" s="51">
        <v>831.1</v>
      </c>
      <c r="G270" s="7"/>
      <c r="H270" s="52">
        <f t="shared" si="78"/>
        <v>831.1</v>
      </c>
      <c r="I270" s="51"/>
      <c r="J270" s="7"/>
      <c r="K270" s="52">
        <f t="shared" si="79"/>
        <v>831.1</v>
      </c>
      <c r="L270" s="51"/>
      <c r="M270" s="7"/>
      <c r="N270" s="165">
        <f t="shared" si="80"/>
        <v>831.1</v>
      </c>
    </row>
    <row r="271" spans="1:14" ht="12.75" hidden="1">
      <c r="A271" s="73" t="s">
        <v>96</v>
      </c>
      <c r="B271" s="51"/>
      <c r="C271" s="7"/>
      <c r="D271" s="7"/>
      <c r="E271" s="52">
        <f t="shared" si="77"/>
        <v>0</v>
      </c>
      <c r="F271" s="51"/>
      <c r="G271" s="7"/>
      <c r="H271" s="52">
        <f t="shared" si="78"/>
        <v>0</v>
      </c>
      <c r="I271" s="51"/>
      <c r="J271" s="7"/>
      <c r="K271" s="52">
        <f t="shared" si="79"/>
        <v>0</v>
      </c>
      <c r="L271" s="51"/>
      <c r="M271" s="7"/>
      <c r="N271" s="165">
        <f t="shared" si="80"/>
        <v>0</v>
      </c>
    </row>
    <row r="272" spans="1:14" ht="12.75" hidden="1">
      <c r="A272" s="73" t="s">
        <v>76</v>
      </c>
      <c r="B272" s="51"/>
      <c r="C272" s="7"/>
      <c r="D272" s="7"/>
      <c r="E272" s="52">
        <f t="shared" si="77"/>
        <v>0</v>
      </c>
      <c r="F272" s="51"/>
      <c r="G272" s="7"/>
      <c r="H272" s="52">
        <f t="shared" si="78"/>
        <v>0</v>
      </c>
      <c r="I272" s="51"/>
      <c r="J272" s="7"/>
      <c r="K272" s="52">
        <f t="shared" si="79"/>
        <v>0</v>
      </c>
      <c r="L272" s="51"/>
      <c r="M272" s="7"/>
      <c r="N272" s="165">
        <f t="shared" si="80"/>
        <v>0</v>
      </c>
    </row>
    <row r="273" spans="1:14" ht="12.75">
      <c r="A273" s="82" t="s">
        <v>298</v>
      </c>
      <c r="B273" s="51"/>
      <c r="C273" s="7"/>
      <c r="D273" s="7"/>
      <c r="E273" s="52">
        <f t="shared" si="77"/>
        <v>0</v>
      </c>
      <c r="F273" s="51"/>
      <c r="G273" s="7">
        <v>2560</v>
      </c>
      <c r="H273" s="52">
        <f t="shared" si="78"/>
        <v>2560</v>
      </c>
      <c r="I273" s="51"/>
      <c r="J273" s="7"/>
      <c r="K273" s="52">
        <f t="shared" si="79"/>
        <v>2560</v>
      </c>
      <c r="L273" s="51"/>
      <c r="M273" s="7"/>
      <c r="N273" s="165">
        <f t="shared" si="80"/>
        <v>2560</v>
      </c>
    </row>
    <row r="274" spans="1:14" ht="12.75">
      <c r="A274" s="82" t="s">
        <v>318</v>
      </c>
      <c r="B274" s="51"/>
      <c r="C274" s="7"/>
      <c r="D274" s="7"/>
      <c r="E274" s="52"/>
      <c r="F274" s="51"/>
      <c r="G274" s="7"/>
      <c r="H274" s="52">
        <f t="shared" si="78"/>
        <v>0</v>
      </c>
      <c r="I274" s="51"/>
      <c r="J274" s="7">
        <v>175</v>
      </c>
      <c r="K274" s="52">
        <f t="shared" si="79"/>
        <v>175</v>
      </c>
      <c r="L274" s="51"/>
      <c r="M274" s="7"/>
      <c r="N274" s="165">
        <f t="shared" si="80"/>
        <v>175</v>
      </c>
    </row>
    <row r="275" spans="1:14" ht="12.75">
      <c r="A275" s="82" t="s">
        <v>319</v>
      </c>
      <c r="B275" s="51"/>
      <c r="C275" s="7"/>
      <c r="D275" s="7"/>
      <c r="E275" s="52"/>
      <c r="F275" s="51"/>
      <c r="G275" s="7"/>
      <c r="H275" s="52">
        <f t="shared" si="78"/>
        <v>0</v>
      </c>
      <c r="I275" s="51"/>
      <c r="J275" s="7">
        <v>5986</v>
      </c>
      <c r="K275" s="52">
        <f t="shared" si="79"/>
        <v>5986</v>
      </c>
      <c r="L275" s="51"/>
      <c r="M275" s="7"/>
      <c r="N275" s="165">
        <f t="shared" si="80"/>
        <v>5986</v>
      </c>
    </row>
    <row r="276" spans="1:14" ht="12.75">
      <c r="A276" s="73" t="s">
        <v>123</v>
      </c>
      <c r="B276" s="51">
        <v>17000</v>
      </c>
      <c r="C276" s="7">
        <v>7500</v>
      </c>
      <c r="D276" s="7">
        <v>-17000</v>
      </c>
      <c r="E276" s="52">
        <f t="shared" si="77"/>
        <v>7500</v>
      </c>
      <c r="F276" s="51">
        <v>-7500</v>
      </c>
      <c r="G276" s="7"/>
      <c r="H276" s="52">
        <f t="shared" si="78"/>
        <v>0</v>
      </c>
      <c r="I276" s="51"/>
      <c r="J276" s="7"/>
      <c r="K276" s="52">
        <f t="shared" si="79"/>
        <v>0</v>
      </c>
      <c r="L276" s="51"/>
      <c r="M276" s="7"/>
      <c r="N276" s="165">
        <f t="shared" si="80"/>
        <v>0</v>
      </c>
    </row>
    <row r="277" spans="1:14" ht="12.75">
      <c r="A277" s="76" t="s">
        <v>108</v>
      </c>
      <c r="B277" s="55">
        <v>169592.8</v>
      </c>
      <c r="C277" s="10">
        <f>-30581.5+168+103675.9+5000-34.2-5836.9-10000-7258.7-30171.3+21533.1+85.6</f>
        <v>46580.00000000001</v>
      </c>
      <c r="D277" s="10">
        <f>-3600+1000</f>
        <v>-2600</v>
      </c>
      <c r="E277" s="56">
        <f t="shared" si="77"/>
        <v>213572.8</v>
      </c>
      <c r="F277" s="55">
        <f>2993.4+307.7+4348+2657-34.2-297.7-1198.5-1827.6-3448.2+15227.5-78-170.9-80.2-2024.2+695.3-10000+1996.4</f>
        <v>9065.799999999994</v>
      </c>
      <c r="G277" s="10">
        <f>-639-2078.3</f>
        <v>-2717.3</v>
      </c>
      <c r="H277" s="56">
        <f t="shared" si="78"/>
        <v>219921.3</v>
      </c>
      <c r="I277" s="55">
        <f>370.2+4107.4+1155.3+15.2+258.4+1371+1000+140.2+132-883.2-77.9-3008.8-1300-1781.5-692.4+921.6</f>
        <v>1727.5000000000011</v>
      </c>
      <c r="J277" s="10"/>
      <c r="K277" s="56">
        <f t="shared" si="79"/>
        <v>221648.8</v>
      </c>
      <c r="L277" s="55">
        <f>853.2+3115.2+148+2515.4+1257.8+15957.1+8515.8-3453.4-1830.9-304.7-161.6-10711.6-4083.5-608.4-1625.2-143.4-42.2-1629.2-1474.2-1460-63.2-565.3+140.8+2445.5+883.3+608+335+6961.3-335.3-3800-409.9-855-6185.2-5-3105.8-512.5-1549.7-2650.2-1500-1466.4-2.9-55.3-467-435-4877.6-387.4-191.3</f>
        <v>-13211.9</v>
      </c>
      <c r="M277" s="10"/>
      <c r="N277" s="164">
        <f t="shared" si="80"/>
        <v>208436.9</v>
      </c>
    </row>
    <row r="278" spans="1:14" ht="12.75">
      <c r="A278" s="70" t="s">
        <v>133</v>
      </c>
      <c r="B278" s="49">
        <f aca="true" t="shared" si="81" ref="B278:N278">B279+B321</f>
        <v>357606.5</v>
      </c>
      <c r="C278" s="6">
        <f t="shared" si="81"/>
        <v>4287275.399999999</v>
      </c>
      <c r="D278" s="6">
        <f t="shared" si="81"/>
        <v>7439.3</v>
      </c>
      <c r="E278" s="50">
        <f t="shared" si="81"/>
        <v>4652321.199999999</v>
      </c>
      <c r="F278" s="49">
        <f t="shared" si="81"/>
        <v>115757.49999999999</v>
      </c>
      <c r="G278" s="6">
        <f t="shared" si="81"/>
        <v>24449.3</v>
      </c>
      <c r="H278" s="50">
        <f t="shared" si="81"/>
        <v>4792528</v>
      </c>
      <c r="I278" s="49">
        <f t="shared" si="81"/>
        <v>70365</v>
      </c>
      <c r="J278" s="6">
        <f t="shared" si="81"/>
        <v>8988.099999999999</v>
      </c>
      <c r="K278" s="50">
        <f t="shared" si="81"/>
        <v>4871881.1</v>
      </c>
      <c r="L278" s="49">
        <f t="shared" si="81"/>
        <v>93145.8</v>
      </c>
      <c r="M278" s="6">
        <f t="shared" si="81"/>
        <v>0</v>
      </c>
      <c r="N278" s="149">
        <f t="shared" si="81"/>
        <v>4965026.899999999</v>
      </c>
    </row>
    <row r="279" spans="1:14" ht="12.75">
      <c r="A279" s="79" t="s">
        <v>69</v>
      </c>
      <c r="B279" s="59">
        <f>SUM(B281:B320)</f>
        <v>339097.2</v>
      </c>
      <c r="C279" s="12">
        <f aca="true" t="shared" si="82" ref="C279:N279">SUM(C281:C320)</f>
        <v>4226375.6</v>
      </c>
      <c r="D279" s="12">
        <f t="shared" si="82"/>
        <v>3839.3</v>
      </c>
      <c r="E279" s="60">
        <f t="shared" si="82"/>
        <v>4569312.1</v>
      </c>
      <c r="F279" s="59">
        <f t="shared" si="82"/>
        <v>105570.29999999999</v>
      </c>
      <c r="G279" s="12">
        <f t="shared" si="82"/>
        <v>1317.1999999999998</v>
      </c>
      <c r="H279" s="60">
        <f t="shared" si="82"/>
        <v>4676199.6</v>
      </c>
      <c r="I279" s="59">
        <f t="shared" si="82"/>
        <v>64828.6</v>
      </c>
      <c r="J279" s="12">
        <f t="shared" si="82"/>
        <v>585.1999999999998</v>
      </c>
      <c r="K279" s="60">
        <f t="shared" si="82"/>
        <v>4741613.399999999</v>
      </c>
      <c r="L279" s="59">
        <f t="shared" si="82"/>
        <v>64435.5</v>
      </c>
      <c r="M279" s="12">
        <f t="shared" si="82"/>
        <v>0</v>
      </c>
      <c r="N279" s="150">
        <f t="shared" si="82"/>
        <v>4806048.899999999</v>
      </c>
    </row>
    <row r="280" spans="1:14" ht="12.75">
      <c r="A280" s="71" t="s">
        <v>38</v>
      </c>
      <c r="B280" s="51"/>
      <c r="C280" s="7"/>
      <c r="D280" s="7"/>
      <c r="E280" s="52"/>
      <c r="F280" s="51"/>
      <c r="G280" s="7"/>
      <c r="H280" s="52"/>
      <c r="I280" s="51"/>
      <c r="J280" s="7"/>
      <c r="K280" s="52"/>
      <c r="L280" s="51"/>
      <c r="M280" s="7"/>
      <c r="N280" s="165"/>
    </row>
    <row r="281" spans="1:14" ht="12.75">
      <c r="A281" s="77" t="s">
        <v>104</v>
      </c>
      <c r="B281" s="51">
        <v>317256.5</v>
      </c>
      <c r="C281" s="7">
        <f>3500-6048.2</f>
        <v>-2548.2</v>
      </c>
      <c r="D281" s="7">
        <v>4688.7</v>
      </c>
      <c r="E281" s="52">
        <f>B281+C281+D281</f>
        <v>319397</v>
      </c>
      <c r="F281" s="51"/>
      <c r="G281" s="7">
        <v>847.3</v>
      </c>
      <c r="H281" s="52">
        <f>E281+F281+G281</f>
        <v>320244.3</v>
      </c>
      <c r="I281" s="51"/>
      <c r="J281" s="7">
        <v>8636</v>
      </c>
      <c r="K281" s="52">
        <f>H281+I281+J281</f>
        <v>328880.3</v>
      </c>
      <c r="L281" s="51">
        <f>1614.5+50</f>
        <v>1664.5</v>
      </c>
      <c r="M281" s="7"/>
      <c r="N281" s="165">
        <f>K281+L281+M281</f>
        <v>330544.8</v>
      </c>
    </row>
    <row r="282" spans="1:14" ht="12.75">
      <c r="A282" s="77" t="s">
        <v>134</v>
      </c>
      <c r="B282" s="51"/>
      <c r="C282" s="7"/>
      <c r="D282" s="7"/>
      <c r="E282" s="52"/>
      <c r="F282" s="51"/>
      <c r="G282" s="7"/>
      <c r="H282" s="52"/>
      <c r="I282" s="51"/>
      <c r="J282" s="7"/>
      <c r="K282" s="52"/>
      <c r="L282" s="51"/>
      <c r="M282" s="7"/>
      <c r="N282" s="165"/>
    </row>
    <row r="283" spans="1:14" ht="12.75">
      <c r="A283" s="77" t="s">
        <v>135</v>
      </c>
      <c r="B283" s="51"/>
      <c r="C283" s="7">
        <v>1551570</v>
      </c>
      <c r="D283" s="7"/>
      <c r="E283" s="52">
        <f aca="true" t="shared" si="83" ref="E283:E320">B283+C283+D283</f>
        <v>1551570</v>
      </c>
      <c r="F283" s="51"/>
      <c r="G283" s="7"/>
      <c r="H283" s="52">
        <f aca="true" t="shared" si="84" ref="H283:H320">E283+F283+G283</f>
        <v>1551570</v>
      </c>
      <c r="I283" s="51"/>
      <c r="J283" s="7"/>
      <c r="K283" s="52">
        <f aca="true" t="shared" si="85" ref="K283:K320">H283+I283+J283</f>
        <v>1551570</v>
      </c>
      <c r="L283" s="51">
        <v>-6</v>
      </c>
      <c r="M283" s="7"/>
      <c r="N283" s="165">
        <f aca="true" t="shared" si="86" ref="N283:N320">K283+L283+M283</f>
        <v>1551564</v>
      </c>
    </row>
    <row r="284" spans="1:14" ht="12.75">
      <c r="A284" s="77" t="s">
        <v>136</v>
      </c>
      <c r="B284" s="51"/>
      <c r="C284" s="7">
        <v>54440</v>
      </c>
      <c r="D284" s="7"/>
      <c r="E284" s="52">
        <f t="shared" si="83"/>
        <v>54440</v>
      </c>
      <c r="F284" s="51">
        <v>49380</v>
      </c>
      <c r="G284" s="7"/>
      <c r="H284" s="52">
        <f t="shared" si="84"/>
        <v>103820</v>
      </c>
      <c r="I284" s="51">
        <v>51940</v>
      </c>
      <c r="J284" s="7"/>
      <c r="K284" s="52">
        <f t="shared" si="85"/>
        <v>155760</v>
      </c>
      <c r="L284" s="51">
        <v>45029</v>
      </c>
      <c r="M284" s="7"/>
      <c r="N284" s="165">
        <f t="shared" si="86"/>
        <v>200789</v>
      </c>
    </row>
    <row r="285" spans="1:14" ht="12.75">
      <c r="A285" s="77" t="s">
        <v>137</v>
      </c>
      <c r="B285" s="51"/>
      <c r="C285" s="9">
        <v>2510341</v>
      </c>
      <c r="D285" s="7"/>
      <c r="E285" s="52">
        <f t="shared" si="83"/>
        <v>2510341</v>
      </c>
      <c r="F285" s="51"/>
      <c r="G285" s="7"/>
      <c r="H285" s="52">
        <f t="shared" si="84"/>
        <v>2510341</v>
      </c>
      <c r="I285" s="51"/>
      <c r="J285" s="7"/>
      <c r="K285" s="52">
        <f t="shared" si="85"/>
        <v>2510341</v>
      </c>
      <c r="L285" s="51">
        <v>6</v>
      </c>
      <c r="M285" s="7"/>
      <c r="N285" s="165">
        <f t="shared" si="86"/>
        <v>2510347</v>
      </c>
    </row>
    <row r="286" spans="1:14" ht="12.75">
      <c r="A286" s="77" t="s">
        <v>138</v>
      </c>
      <c r="B286" s="51"/>
      <c r="C286" s="7"/>
      <c r="D286" s="7"/>
      <c r="E286" s="52">
        <f t="shared" si="83"/>
        <v>0</v>
      </c>
      <c r="F286" s="51">
        <f>186+476</f>
        <v>662</v>
      </c>
      <c r="G286" s="7"/>
      <c r="H286" s="52">
        <f t="shared" si="84"/>
        <v>662</v>
      </c>
      <c r="I286" s="51">
        <v>-236</v>
      </c>
      <c r="J286" s="7"/>
      <c r="K286" s="52">
        <f t="shared" si="85"/>
        <v>426</v>
      </c>
      <c r="L286" s="51"/>
      <c r="M286" s="7"/>
      <c r="N286" s="165">
        <f t="shared" si="86"/>
        <v>426</v>
      </c>
    </row>
    <row r="287" spans="1:14" ht="12.75" hidden="1">
      <c r="A287" s="77" t="s">
        <v>139</v>
      </c>
      <c r="B287" s="51"/>
      <c r="C287" s="7"/>
      <c r="D287" s="7"/>
      <c r="E287" s="52">
        <f t="shared" si="83"/>
        <v>0</v>
      </c>
      <c r="F287" s="51"/>
      <c r="G287" s="7"/>
      <c r="H287" s="52">
        <f t="shared" si="84"/>
        <v>0</v>
      </c>
      <c r="I287" s="51"/>
      <c r="J287" s="7"/>
      <c r="K287" s="52">
        <f t="shared" si="85"/>
        <v>0</v>
      </c>
      <c r="L287" s="51"/>
      <c r="M287" s="7"/>
      <c r="N287" s="165">
        <f t="shared" si="86"/>
        <v>0</v>
      </c>
    </row>
    <row r="288" spans="1:14" ht="12.75">
      <c r="A288" s="77" t="s">
        <v>311</v>
      </c>
      <c r="B288" s="51"/>
      <c r="C288" s="7"/>
      <c r="D288" s="7"/>
      <c r="E288" s="52">
        <f t="shared" si="83"/>
        <v>0</v>
      </c>
      <c r="F288" s="51"/>
      <c r="G288" s="7"/>
      <c r="H288" s="52">
        <f t="shared" si="84"/>
        <v>0</v>
      </c>
      <c r="I288" s="51">
        <v>206</v>
      </c>
      <c r="J288" s="7"/>
      <c r="K288" s="52">
        <f t="shared" si="85"/>
        <v>206</v>
      </c>
      <c r="L288" s="51"/>
      <c r="M288" s="7"/>
      <c r="N288" s="165">
        <f t="shared" si="86"/>
        <v>206</v>
      </c>
    </row>
    <row r="289" spans="1:14" ht="12.75" hidden="1">
      <c r="A289" s="77" t="s">
        <v>140</v>
      </c>
      <c r="B289" s="51"/>
      <c r="C289" s="7"/>
      <c r="D289" s="7"/>
      <c r="E289" s="52">
        <f t="shared" si="83"/>
        <v>0</v>
      </c>
      <c r="F289" s="51"/>
      <c r="G289" s="7"/>
      <c r="H289" s="52">
        <f t="shared" si="84"/>
        <v>0</v>
      </c>
      <c r="I289" s="51"/>
      <c r="J289" s="7"/>
      <c r="K289" s="52">
        <f t="shared" si="85"/>
        <v>0</v>
      </c>
      <c r="L289" s="51"/>
      <c r="M289" s="7"/>
      <c r="N289" s="165">
        <f t="shared" si="86"/>
        <v>0</v>
      </c>
    </row>
    <row r="290" spans="1:14" ht="12.75" hidden="1">
      <c r="A290" s="77" t="s">
        <v>222</v>
      </c>
      <c r="B290" s="51"/>
      <c r="C290" s="7"/>
      <c r="D290" s="7"/>
      <c r="E290" s="52">
        <f t="shared" si="83"/>
        <v>0</v>
      </c>
      <c r="F290" s="51"/>
      <c r="G290" s="7"/>
      <c r="H290" s="52">
        <f t="shared" si="84"/>
        <v>0</v>
      </c>
      <c r="I290" s="51"/>
      <c r="J290" s="7"/>
      <c r="K290" s="52">
        <f t="shared" si="85"/>
        <v>0</v>
      </c>
      <c r="L290" s="51"/>
      <c r="M290" s="7"/>
      <c r="N290" s="165">
        <f t="shared" si="86"/>
        <v>0</v>
      </c>
    </row>
    <row r="291" spans="1:14" ht="12.75" hidden="1">
      <c r="A291" s="77" t="s">
        <v>141</v>
      </c>
      <c r="B291" s="51"/>
      <c r="C291" s="7"/>
      <c r="D291" s="7"/>
      <c r="E291" s="52">
        <f t="shared" si="83"/>
        <v>0</v>
      </c>
      <c r="F291" s="51"/>
      <c r="G291" s="7"/>
      <c r="H291" s="52">
        <f t="shared" si="84"/>
        <v>0</v>
      </c>
      <c r="I291" s="51"/>
      <c r="J291" s="7"/>
      <c r="K291" s="52">
        <f t="shared" si="85"/>
        <v>0</v>
      </c>
      <c r="L291" s="51"/>
      <c r="M291" s="7"/>
      <c r="N291" s="165">
        <f t="shared" si="86"/>
        <v>0</v>
      </c>
    </row>
    <row r="292" spans="1:14" ht="12.75">
      <c r="A292" s="77" t="s">
        <v>142</v>
      </c>
      <c r="B292" s="51"/>
      <c r="C292" s="7"/>
      <c r="D292" s="7"/>
      <c r="E292" s="52">
        <f t="shared" si="83"/>
        <v>0</v>
      </c>
      <c r="F292" s="51">
        <f>3660.4+2470.7</f>
        <v>6131.1</v>
      </c>
      <c r="G292" s="7"/>
      <c r="H292" s="52">
        <f t="shared" si="84"/>
        <v>6131.1</v>
      </c>
      <c r="I292" s="51"/>
      <c r="J292" s="7"/>
      <c r="K292" s="52">
        <f t="shared" si="85"/>
        <v>6131.1</v>
      </c>
      <c r="L292" s="51"/>
      <c r="M292" s="7"/>
      <c r="N292" s="165">
        <f t="shared" si="86"/>
        <v>6131.1</v>
      </c>
    </row>
    <row r="293" spans="1:14" ht="12.75">
      <c r="A293" s="77" t="s">
        <v>305</v>
      </c>
      <c r="B293" s="51"/>
      <c r="C293" s="7"/>
      <c r="D293" s="7"/>
      <c r="E293" s="52"/>
      <c r="F293" s="51"/>
      <c r="G293" s="7"/>
      <c r="H293" s="52">
        <f t="shared" si="84"/>
        <v>0</v>
      </c>
      <c r="I293" s="51">
        <v>320</v>
      </c>
      <c r="J293" s="7"/>
      <c r="K293" s="52">
        <f t="shared" si="85"/>
        <v>320</v>
      </c>
      <c r="L293" s="51"/>
      <c r="M293" s="7"/>
      <c r="N293" s="165">
        <f t="shared" si="86"/>
        <v>320</v>
      </c>
    </row>
    <row r="294" spans="1:14" ht="12.75">
      <c r="A294" s="96" t="s">
        <v>301</v>
      </c>
      <c r="B294" s="51"/>
      <c r="C294" s="7"/>
      <c r="D294" s="7"/>
      <c r="E294" s="52">
        <f t="shared" si="83"/>
        <v>0</v>
      </c>
      <c r="F294" s="51"/>
      <c r="G294" s="7"/>
      <c r="H294" s="52">
        <f t="shared" si="84"/>
        <v>0</v>
      </c>
      <c r="I294" s="51">
        <v>663</v>
      </c>
      <c r="J294" s="7"/>
      <c r="K294" s="52">
        <f t="shared" si="85"/>
        <v>663</v>
      </c>
      <c r="L294" s="51"/>
      <c r="M294" s="7"/>
      <c r="N294" s="165">
        <f t="shared" si="86"/>
        <v>663</v>
      </c>
    </row>
    <row r="295" spans="1:14" ht="12.75">
      <c r="A295" s="96" t="s">
        <v>322</v>
      </c>
      <c r="B295" s="51"/>
      <c r="C295" s="7"/>
      <c r="D295" s="7"/>
      <c r="E295" s="52"/>
      <c r="F295" s="51"/>
      <c r="G295" s="7"/>
      <c r="H295" s="52"/>
      <c r="I295" s="51"/>
      <c r="J295" s="7"/>
      <c r="K295" s="52">
        <f t="shared" si="85"/>
        <v>0</v>
      </c>
      <c r="L295" s="51">
        <v>1275.4</v>
      </c>
      <c r="M295" s="7"/>
      <c r="N295" s="165">
        <f t="shared" si="86"/>
        <v>1275.4</v>
      </c>
    </row>
    <row r="296" spans="1:14" ht="12.75">
      <c r="A296" s="77" t="s">
        <v>300</v>
      </c>
      <c r="B296" s="51"/>
      <c r="C296" s="7"/>
      <c r="D296" s="7"/>
      <c r="E296" s="52">
        <f t="shared" si="83"/>
        <v>0</v>
      </c>
      <c r="F296" s="51"/>
      <c r="G296" s="7"/>
      <c r="H296" s="52">
        <f t="shared" si="84"/>
        <v>0</v>
      </c>
      <c r="I296" s="51">
        <f>1913+50</f>
        <v>1963</v>
      </c>
      <c r="J296" s="7"/>
      <c r="K296" s="52">
        <f t="shared" si="85"/>
        <v>1963</v>
      </c>
      <c r="L296" s="51"/>
      <c r="M296" s="7"/>
      <c r="N296" s="165">
        <f t="shared" si="86"/>
        <v>1963</v>
      </c>
    </row>
    <row r="297" spans="1:14" ht="12.75">
      <c r="A297" s="96" t="s">
        <v>320</v>
      </c>
      <c r="B297" s="51"/>
      <c r="C297" s="7"/>
      <c r="D297" s="7"/>
      <c r="E297" s="52"/>
      <c r="F297" s="51"/>
      <c r="G297" s="7"/>
      <c r="H297" s="52"/>
      <c r="I297" s="51"/>
      <c r="J297" s="7"/>
      <c r="K297" s="52">
        <f t="shared" si="85"/>
        <v>0</v>
      </c>
      <c r="L297" s="51">
        <v>95.1</v>
      </c>
      <c r="M297" s="7"/>
      <c r="N297" s="165">
        <f t="shared" si="86"/>
        <v>95.1</v>
      </c>
    </row>
    <row r="298" spans="1:14" ht="12.75">
      <c r="A298" s="96" t="s">
        <v>321</v>
      </c>
      <c r="B298" s="51"/>
      <c r="C298" s="7"/>
      <c r="D298" s="7"/>
      <c r="E298" s="52"/>
      <c r="F298" s="51"/>
      <c r="G298" s="7"/>
      <c r="H298" s="52"/>
      <c r="I298" s="51"/>
      <c r="J298" s="7"/>
      <c r="K298" s="52">
        <f t="shared" si="85"/>
        <v>0</v>
      </c>
      <c r="L298" s="51">
        <v>986</v>
      </c>
      <c r="M298" s="7"/>
      <c r="N298" s="165">
        <f t="shared" si="86"/>
        <v>986</v>
      </c>
    </row>
    <row r="299" spans="1:14" ht="12.75">
      <c r="A299" s="75" t="s">
        <v>323</v>
      </c>
      <c r="B299" s="51"/>
      <c r="C299" s="7"/>
      <c r="D299" s="7"/>
      <c r="E299" s="52"/>
      <c r="F299" s="51"/>
      <c r="G299" s="7"/>
      <c r="H299" s="52"/>
      <c r="I299" s="51"/>
      <c r="J299" s="7"/>
      <c r="K299" s="52">
        <f t="shared" si="85"/>
        <v>0</v>
      </c>
      <c r="L299" s="51">
        <v>286.6</v>
      </c>
      <c r="M299" s="7"/>
      <c r="N299" s="165">
        <f t="shared" si="86"/>
        <v>286.6</v>
      </c>
    </row>
    <row r="300" spans="1:14" ht="12.75">
      <c r="A300" s="96" t="s">
        <v>327</v>
      </c>
      <c r="B300" s="51"/>
      <c r="C300" s="7"/>
      <c r="D300" s="7"/>
      <c r="E300" s="52">
        <f t="shared" si="83"/>
        <v>0</v>
      </c>
      <c r="F300" s="51"/>
      <c r="G300" s="7"/>
      <c r="H300" s="52">
        <f t="shared" si="84"/>
        <v>0</v>
      </c>
      <c r="I300" s="51">
        <v>223.6</v>
      </c>
      <c r="J300" s="7"/>
      <c r="K300" s="52">
        <f t="shared" si="85"/>
        <v>223.6</v>
      </c>
      <c r="L300" s="51">
        <f>-79.8+100</f>
        <v>20.200000000000003</v>
      </c>
      <c r="M300" s="7"/>
      <c r="N300" s="165">
        <f t="shared" si="86"/>
        <v>243.8</v>
      </c>
    </row>
    <row r="301" spans="1:14" ht="12.75">
      <c r="A301" s="77" t="s">
        <v>276</v>
      </c>
      <c r="B301" s="51"/>
      <c r="C301" s="7"/>
      <c r="D301" s="7"/>
      <c r="E301" s="52">
        <f t="shared" si="83"/>
        <v>0</v>
      </c>
      <c r="F301" s="51">
        <v>4471</v>
      </c>
      <c r="G301" s="7"/>
      <c r="H301" s="52">
        <f t="shared" si="84"/>
        <v>4471</v>
      </c>
      <c r="I301" s="51"/>
      <c r="J301" s="7"/>
      <c r="K301" s="52">
        <f t="shared" si="85"/>
        <v>4471</v>
      </c>
      <c r="L301" s="51"/>
      <c r="M301" s="7"/>
      <c r="N301" s="165">
        <f t="shared" si="86"/>
        <v>4471</v>
      </c>
    </row>
    <row r="302" spans="1:14" ht="12.75">
      <c r="A302" s="77" t="s">
        <v>233</v>
      </c>
      <c r="B302" s="51"/>
      <c r="C302" s="7">
        <v>105000</v>
      </c>
      <c r="D302" s="7"/>
      <c r="E302" s="52">
        <f t="shared" si="83"/>
        <v>105000</v>
      </c>
      <c r="F302" s="51"/>
      <c r="G302" s="7"/>
      <c r="H302" s="52">
        <f t="shared" si="84"/>
        <v>105000</v>
      </c>
      <c r="I302" s="51"/>
      <c r="J302" s="7"/>
      <c r="K302" s="52">
        <f t="shared" si="85"/>
        <v>105000</v>
      </c>
      <c r="L302" s="51">
        <v>9779</v>
      </c>
      <c r="M302" s="7"/>
      <c r="N302" s="165">
        <f t="shared" si="86"/>
        <v>114779</v>
      </c>
    </row>
    <row r="303" spans="1:14" ht="12.75" hidden="1">
      <c r="A303" s="77" t="s">
        <v>143</v>
      </c>
      <c r="B303" s="51"/>
      <c r="C303" s="7"/>
      <c r="D303" s="7"/>
      <c r="E303" s="52">
        <f t="shared" si="83"/>
        <v>0</v>
      </c>
      <c r="F303" s="51"/>
      <c r="G303" s="7"/>
      <c r="H303" s="52">
        <f t="shared" si="84"/>
        <v>0</v>
      </c>
      <c r="I303" s="51"/>
      <c r="J303" s="7"/>
      <c r="K303" s="52">
        <f t="shared" si="85"/>
        <v>0</v>
      </c>
      <c r="L303" s="51"/>
      <c r="M303" s="7"/>
      <c r="N303" s="165">
        <f t="shared" si="86"/>
        <v>0</v>
      </c>
    </row>
    <row r="304" spans="1:14" ht="12.75" hidden="1">
      <c r="A304" s="77" t="s">
        <v>209</v>
      </c>
      <c r="B304" s="51"/>
      <c r="C304" s="7"/>
      <c r="D304" s="7"/>
      <c r="E304" s="52">
        <f t="shared" si="83"/>
        <v>0</v>
      </c>
      <c r="F304" s="51"/>
      <c r="G304" s="7"/>
      <c r="H304" s="52">
        <f t="shared" si="84"/>
        <v>0</v>
      </c>
      <c r="I304" s="51"/>
      <c r="J304" s="7"/>
      <c r="K304" s="52">
        <f t="shared" si="85"/>
        <v>0</v>
      </c>
      <c r="L304" s="51"/>
      <c r="M304" s="7"/>
      <c r="N304" s="165">
        <f t="shared" si="86"/>
        <v>0</v>
      </c>
    </row>
    <row r="305" spans="1:14" ht="12.75">
      <c r="A305" s="96" t="s">
        <v>208</v>
      </c>
      <c r="B305" s="51"/>
      <c r="C305" s="7"/>
      <c r="D305" s="7"/>
      <c r="E305" s="52">
        <f t="shared" si="83"/>
        <v>0</v>
      </c>
      <c r="F305" s="51">
        <f>37546+3574</f>
        <v>41120</v>
      </c>
      <c r="G305" s="7"/>
      <c r="H305" s="52">
        <f t="shared" si="84"/>
        <v>41120</v>
      </c>
      <c r="I305" s="51"/>
      <c r="J305" s="7"/>
      <c r="K305" s="52">
        <f t="shared" si="85"/>
        <v>41120</v>
      </c>
      <c r="L305" s="51"/>
      <c r="M305" s="7"/>
      <c r="N305" s="165">
        <f t="shared" si="86"/>
        <v>41120</v>
      </c>
    </row>
    <row r="306" spans="1:14" ht="12.75">
      <c r="A306" s="96" t="s">
        <v>275</v>
      </c>
      <c r="B306" s="51"/>
      <c r="C306" s="7"/>
      <c r="D306" s="7"/>
      <c r="E306" s="52">
        <f t="shared" si="83"/>
        <v>0</v>
      </c>
      <c r="F306" s="51">
        <v>70</v>
      </c>
      <c r="G306" s="7"/>
      <c r="H306" s="52">
        <f t="shared" si="84"/>
        <v>70</v>
      </c>
      <c r="I306" s="51"/>
      <c r="J306" s="7"/>
      <c r="K306" s="52">
        <f t="shared" si="85"/>
        <v>70</v>
      </c>
      <c r="L306" s="51"/>
      <c r="M306" s="7"/>
      <c r="N306" s="165">
        <f t="shared" si="86"/>
        <v>70</v>
      </c>
    </row>
    <row r="307" spans="1:14" ht="12.75">
      <c r="A307" s="77" t="s">
        <v>144</v>
      </c>
      <c r="B307" s="51"/>
      <c r="C307" s="7"/>
      <c r="D307" s="7"/>
      <c r="E307" s="52">
        <f t="shared" si="83"/>
        <v>0</v>
      </c>
      <c r="F307" s="51"/>
      <c r="G307" s="7"/>
      <c r="H307" s="52">
        <f t="shared" si="84"/>
        <v>0</v>
      </c>
      <c r="I307" s="51"/>
      <c r="J307" s="7"/>
      <c r="K307" s="52">
        <f t="shared" si="85"/>
        <v>0</v>
      </c>
      <c r="L307" s="51">
        <v>275</v>
      </c>
      <c r="M307" s="7"/>
      <c r="N307" s="165">
        <f t="shared" si="86"/>
        <v>275</v>
      </c>
    </row>
    <row r="308" spans="1:14" ht="12.75" hidden="1">
      <c r="A308" s="77" t="s">
        <v>145</v>
      </c>
      <c r="B308" s="51"/>
      <c r="C308" s="7"/>
      <c r="D308" s="7"/>
      <c r="E308" s="52">
        <f t="shared" si="83"/>
        <v>0</v>
      </c>
      <c r="F308" s="51"/>
      <c r="G308" s="7"/>
      <c r="H308" s="52">
        <f t="shared" si="84"/>
        <v>0</v>
      </c>
      <c r="I308" s="51"/>
      <c r="J308" s="7"/>
      <c r="K308" s="52">
        <f t="shared" si="85"/>
        <v>0</v>
      </c>
      <c r="L308" s="51"/>
      <c r="M308" s="7"/>
      <c r="N308" s="165">
        <f t="shared" si="86"/>
        <v>0</v>
      </c>
    </row>
    <row r="309" spans="1:14" ht="12.75">
      <c r="A309" s="77" t="s">
        <v>265</v>
      </c>
      <c r="B309" s="51"/>
      <c r="C309" s="7">
        <v>515.7</v>
      </c>
      <c r="D309" s="7"/>
      <c r="E309" s="52">
        <f t="shared" si="83"/>
        <v>515.7</v>
      </c>
      <c r="F309" s="51"/>
      <c r="G309" s="7"/>
      <c r="H309" s="52">
        <f t="shared" si="84"/>
        <v>515.7</v>
      </c>
      <c r="I309" s="51"/>
      <c r="J309" s="7"/>
      <c r="K309" s="52">
        <f t="shared" si="85"/>
        <v>515.7</v>
      </c>
      <c r="L309" s="51"/>
      <c r="M309" s="7"/>
      <c r="N309" s="165">
        <f t="shared" si="86"/>
        <v>515.7</v>
      </c>
    </row>
    <row r="310" spans="1:14" ht="12.75">
      <c r="A310" s="77" t="s">
        <v>218</v>
      </c>
      <c r="B310" s="51"/>
      <c r="C310" s="7"/>
      <c r="D310" s="7"/>
      <c r="E310" s="52">
        <f t="shared" si="83"/>
        <v>0</v>
      </c>
      <c r="F310" s="51">
        <v>445</v>
      </c>
      <c r="G310" s="7"/>
      <c r="H310" s="52">
        <f t="shared" si="84"/>
        <v>445</v>
      </c>
      <c r="I310" s="51">
        <v>365.4</v>
      </c>
      <c r="J310" s="7"/>
      <c r="K310" s="52">
        <f t="shared" si="85"/>
        <v>810.4</v>
      </c>
      <c r="L310" s="51">
        <v>433</v>
      </c>
      <c r="M310" s="7"/>
      <c r="N310" s="165">
        <f t="shared" si="86"/>
        <v>1243.4</v>
      </c>
    </row>
    <row r="311" spans="1:14" ht="12.75">
      <c r="A311" s="96" t="s">
        <v>267</v>
      </c>
      <c r="B311" s="51"/>
      <c r="C311" s="7"/>
      <c r="D311" s="7">
        <v>3839.3</v>
      </c>
      <c r="E311" s="52">
        <f t="shared" si="83"/>
        <v>3839.3</v>
      </c>
      <c r="F311" s="51"/>
      <c r="G311" s="7"/>
      <c r="H311" s="52">
        <f t="shared" si="84"/>
        <v>3839.3</v>
      </c>
      <c r="I311" s="51"/>
      <c r="J311" s="7"/>
      <c r="K311" s="52">
        <f t="shared" si="85"/>
        <v>3839.3</v>
      </c>
      <c r="L311" s="51"/>
      <c r="M311" s="7"/>
      <c r="N311" s="165">
        <f t="shared" si="86"/>
        <v>3839.3</v>
      </c>
    </row>
    <row r="312" spans="1:14" ht="12.75">
      <c r="A312" s="96" t="s">
        <v>312</v>
      </c>
      <c r="B312" s="51"/>
      <c r="C312" s="7"/>
      <c r="D312" s="7"/>
      <c r="E312" s="52"/>
      <c r="F312" s="51"/>
      <c r="G312" s="7"/>
      <c r="H312" s="52">
        <f t="shared" si="84"/>
        <v>0</v>
      </c>
      <c r="I312" s="51">
        <v>3091.8</v>
      </c>
      <c r="J312" s="7"/>
      <c r="K312" s="52">
        <f t="shared" si="85"/>
        <v>3091.8</v>
      </c>
      <c r="L312" s="51"/>
      <c r="M312" s="7"/>
      <c r="N312" s="165">
        <f t="shared" si="86"/>
        <v>3091.8</v>
      </c>
    </row>
    <row r="313" spans="1:14" ht="12.75">
      <c r="A313" s="77" t="s">
        <v>234</v>
      </c>
      <c r="B313" s="51"/>
      <c r="C313" s="7">
        <f>303.8+551.4+370.9+473</f>
        <v>1699.1</v>
      </c>
      <c r="D313" s="7"/>
      <c r="E313" s="52">
        <f t="shared" si="83"/>
        <v>1699.1</v>
      </c>
      <c r="F313" s="51">
        <f>375.2+602.2+300.3+303.7</f>
        <v>1581.4</v>
      </c>
      <c r="G313" s="7"/>
      <c r="H313" s="52">
        <f t="shared" si="84"/>
        <v>3280.5</v>
      </c>
      <c r="I313" s="51">
        <f>685.3+669.5+297.7+321.5+304.6</f>
        <v>2278.6</v>
      </c>
      <c r="J313" s="7"/>
      <c r="K313" s="52">
        <f t="shared" si="85"/>
        <v>5559.1</v>
      </c>
      <c r="L313" s="51">
        <f>617.4+633.9+200.5</f>
        <v>1451.8</v>
      </c>
      <c r="M313" s="7"/>
      <c r="N313" s="165">
        <f t="shared" si="86"/>
        <v>7010.900000000001</v>
      </c>
    </row>
    <row r="314" spans="1:14" ht="12.75">
      <c r="A314" s="77" t="s">
        <v>239</v>
      </c>
      <c r="B314" s="51"/>
      <c r="C314" s="7">
        <v>5819.8</v>
      </c>
      <c r="D314" s="7"/>
      <c r="E314" s="52">
        <f t="shared" si="83"/>
        <v>5819.8</v>
      </c>
      <c r="F314" s="51"/>
      <c r="G314" s="7"/>
      <c r="H314" s="52">
        <f t="shared" si="84"/>
        <v>5819.8</v>
      </c>
      <c r="I314" s="51"/>
      <c r="J314" s="7"/>
      <c r="K314" s="52">
        <f t="shared" si="85"/>
        <v>5819.8</v>
      </c>
      <c r="L314" s="51"/>
      <c r="M314" s="7"/>
      <c r="N314" s="165">
        <f t="shared" si="86"/>
        <v>5819.8</v>
      </c>
    </row>
    <row r="315" spans="1:14" ht="12.75">
      <c r="A315" s="96" t="s">
        <v>269</v>
      </c>
      <c r="B315" s="51"/>
      <c r="C315" s="7"/>
      <c r="D315" s="7"/>
      <c r="E315" s="52">
        <f t="shared" si="83"/>
        <v>0</v>
      </c>
      <c r="F315" s="51">
        <v>1283.9</v>
      </c>
      <c r="G315" s="7"/>
      <c r="H315" s="52">
        <f t="shared" si="84"/>
        <v>1283.9</v>
      </c>
      <c r="I315" s="51"/>
      <c r="J315" s="7"/>
      <c r="K315" s="52">
        <f t="shared" si="85"/>
        <v>1283.9</v>
      </c>
      <c r="L315" s="51">
        <v>1603.9</v>
      </c>
      <c r="M315" s="7"/>
      <c r="N315" s="165">
        <f t="shared" si="86"/>
        <v>2887.8</v>
      </c>
    </row>
    <row r="316" spans="1:14" ht="12.75">
      <c r="A316" s="77" t="s">
        <v>282</v>
      </c>
      <c r="B316" s="51"/>
      <c r="C316" s="7"/>
      <c r="D316" s="7"/>
      <c r="E316" s="52">
        <f t="shared" si="83"/>
        <v>0</v>
      </c>
      <c r="F316" s="51">
        <v>255</v>
      </c>
      <c r="G316" s="7"/>
      <c r="H316" s="52">
        <f t="shared" si="84"/>
        <v>255</v>
      </c>
      <c r="I316" s="51"/>
      <c r="J316" s="7"/>
      <c r="K316" s="52">
        <f t="shared" si="85"/>
        <v>255</v>
      </c>
      <c r="L316" s="51">
        <f>183.8</f>
        <v>183.8</v>
      </c>
      <c r="M316" s="7"/>
      <c r="N316" s="165">
        <f t="shared" si="86"/>
        <v>438.8</v>
      </c>
    </row>
    <row r="317" spans="1:14" ht="12.75" hidden="1">
      <c r="A317" s="77" t="s">
        <v>146</v>
      </c>
      <c r="B317" s="51"/>
      <c r="C317" s="7"/>
      <c r="D317" s="7"/>
      <c r="E317" s="52">
        <f t="shared" si="83"/>
        <v>0</v>
      </c>
      <c r="F317" s="51"/>
      <c r="G317" s="7"/>
      <c r="H317" s="52">
        <f t="shared" si="84"/>
        <v>0</v>
      </c>
      <c r="I317" s="51"/>
      <c r="J317" s="7"/>
      <c r="K317" s="52">
        <f t="shared" si="85"/>
        <v>0</v>
      </c>
      <c r="L317" s="51"/>
      <c r="M317" s="7"/>
      <c r="N317" s="165">
        <f t="shared" si="86"/>
        <v>0</v>
      </c>
    </row>
    <row r="318" spans="1:14" ht="12.75" hidden="1">
      <c r="A318" s="77" t="s">
        <v>93</v>
      </c>
      <c r="B318" s="51"/>
      <c r="C318" s="7"/>
      <c r="D318" s="7"/>
      <c r="E318" s="52">
        <f t="shared" si="83"/>
        <v>0</v>
      </c>
      <c r="F318" s="51"/>
      <c r="G318" s="7"/>
      <c r="H318" s="52">
        <f t="shared" si="84"/>
        <v>0</v>
      </c>
      <c r="I318" s="51"/>
      <c r="J318" s="7"/>
      <c r="K318" s="52">
        <f t="shared" si="85"/>
        <v>0</v>
      </c>
      <c r="L318" s="51"/>
      <c r="M318" s="7"/>
      <c r="N318" s="165">
        <f t="shared" si="86"/>
        <v>0</v>
      </c>
    </row>
    <row r="319" spans="1:14" ht="12.75">
      <c r="A319" s="77" t="s">
        <v>107</v>
      </c>
      <c r="B319" s="51">
        <v>661.7</v>
      </c>
      <c r="C319" s="7">
        <f>-661.7+199.9</f>
        <v>-461.80000000000007</v>
      </c>
      <c r="D319" s="7"/>
      <c r="E319" s="52">
        <f t="shared" si="83"/>
        <v>199.89999999999998</v>
      </c>
      <c r="F319" s="51">
        <v>170.9</v>
      </c>
      <c r="G319" s="7"/>
      <c r="H319" s="52">
        <f t="shared" si="84"/>
        <v>370.79999999999995</v>
      </c>
      <c r="I319" s="51">
        <f>30+199.9+3783.3</f>
        <v>4013.2000000000003</v>
      </c>
      <c r="J319" s="7"/>
      <c r="K319" s="52">
        <f t="shared" si="85"/>
        <v>4384</v>
      </c>
      <c r="L319" s="68">
        <f>594+20.4+52.4+1.8+1625.2+143.4+1369+592.7-183.8+8.6</f>
        <v>4223.700000000001</v>
      </c>
      <c r="M319" s="7"/>
      <c r="N319" s="165">
        <f t="shared" si="86"/>
        <v>8607.7</v>
      </c>
    </row>
    <row r="320" spans="1:14" ht="12.75">
      <c r="A320" s="77" t="s">
        <v>72</v>
      </c>
      <c r="B320" s="51">
        <v>21179</v>
      </c>
      <c r="C320" s="7"/>
      <c r="D320" s="7">
        <v>-4688.7</v>
      </c>
      <c r="E320" s="52">
        <f t="shared" si="83"/>
        <v>16490.3</v>
      </c>
      <c r="F320" s="51"/>
      <c r="G320" s="7">
        <f>77+392.9</f>
        <v>469.9</v>
      </c>
      <c r="H320" s="52">
        <f t="shared" si="84"/>
        <v>16960.2</v>
      </c>
      <c r="I320" s="51"/>
      <c r="J320" s="7">
        <v>-8050.8</v>
      </c>
      <c r="K320" s="52">
        <f t="shared" si="85"/>
        <v>8909.400000000001</v>
      </c>
      <c r="L320" s="68">
        <v>-2871.5</v>
      </c>
      <c r="M320" s="7"/>
      <c r="N320" s="165">
        <f t="shared" si="86"/>
        <v>6037.9000000000015</v>
      </c>
    </row>
    <row r="321" spans="1:14" ht="12.75">
      <c r="A321" s="80" t="s">
        <v>75</v>
      </c>
      <c r="B321" s="61">
        <f aca="true" t="shared" si="87" ref="B321:N321">SUM(B323:B329)</f>
        <v>18509.3</v>
      </c>
      <c r="C321" s="13">
        <f t="shared" si="87"/>
        <v>60899.8</v>
      </c>
      <c r="D321" s="13">
        <f t="shared" si="87"/>
        <v>3600</v>
      </c>
      <c r="E321" s="62">
        <f t="shared" si="87"/>
        <v>83009.1</v>
      </c>
      <c r="F321" s="61">
        <f t="shared" si="87"/>
        <v>10187.2</v>
      </c>
      <c r="G321" s="13">
        <f t="shared" si="87"/>
        <v>23132.1</v>
      </c>
      <c r="H321" s="62">
        <f t="shared" si="87"/>
        <v>116328.40000000001</v>
      </c>
      <c r="I321" s="61">
        <f t="shared" si="87"/>
        <v>5536.4</v>
      </c>
      <c r="J321" s="13">
        <f t="shared" si="87"/>
        <v>8402.9</v>
      </c>
      <c r="K321" s="62">
        <f t="shared" si="87"/>
        <v>130267.7</v>
      </c>
      <c r="L321" s="61">
        <f t="shared" si="87"/>
        <v>28710.300000000007</v>
      </c>
      <c r="M321" s="13">
        <f t="shared" si="87"/>
        <v>0</v>
      </c>
      <c r="N321" s="171">
        <f t="shared" si="87"/>
        <v>158978.00000000003</v>
      </c>
    </row>
    <row r="322" spans="1:14" ht="12.75">
      <c r="A322" s="75" t="s">
        <v>38</v>
      </c>
      <c r="B322" s="51"/>
      <c r="C322" s="7"/>
      <c r="D322" s="7"/>
      <c r="E322" s="52"/>
      <c r="F322" s="51"/>
      <c r="G322" s="7"/>
      <c r="H322" s="50"/>
      <c r="I322" s="51"/>
      <c r="J322" s="7"/>
      <c r="K322" s="50"/>
      <c r="L322" s="51"/>
      <c r="M322" s="7"/>
      <c r="N322" s="149"/>
    </row>
    <row r="323" spans="1:14" ht="12.75">
      <c r="A323" s="77" t="s">
        <v>147</v>
      </c>
      <c r="B323" s="51"/>
      <c r="C323" s="7"/>
      <c r="D323" s="7"/>
      <c r="E323" s="52">
        <f aca="true" t="shared" si="88" ref="E323:E329">B323+C323+D323</f>
        <v>0</v>
      </c>
      <c r="F323" s="51"/>
      <c r="G323" s="7">
        <v>91</v>
      </c>
      <c r="H323" s="52">
        <f aca="true" t="shared" si="89" ref="H323:H329">E323+F323+G323</f>
        <v>91</v>
      </c>
      <c r="I323" s="51"/>
      <c r="J323" s="7"/>
      <c r="K323" s="52">
        <f aca="true" t="shared" si="90" ref="K323:K329">H323+I323+J323</f>
        <v>91</v>
      </c>
      <c r="L323" s="51">
        <v>48</v>
      </c>
      <c r="M323" s="7"/>
      <c r="N323" s="165">
        <f aca="true" t="shared" si="91" ref="N323:N329">K323+L323+M323</f>
        <v>139</v>
      </c>
    </row>
    <row r="324" spans="1:14" ht="12.75">
      <c r="A324" s="77" t="s">
        <v>96</v>
      </c>
      <c r="B324" s="51"/>
      <c r="C324" s="7">
        <v>850</v>
      </c>
      <c r="D324" s="7"/>
      <c r="E324" s="52">
        <f t="shared" si="88"/>
        <v>850</v>
      </c>
      <c r="F324" s="51"/>
      <c r="G324" s="7"/>
      <c r="H324" s="52">
        <f t="shared" si="89"/>
        <v>850</v>
      </c>
      <c r="I324" s="51"/>
      <c r="J324" s="7"/>
      <c r="K324" s="52">
        <f t="shared" si="90"/>
        <v>850</v>
      </c>
      <c r="L324" s="51"/>
      <c r="M324" s="7"/>
      <c r="N324" s="165">
        <f t="shared" si="91"/>
        <v>850</v>
      </c>
    </row>
    <row r="325" spans="1:14" ht="12.75" hidden="1">
      <c r="A325" s="77" t="s">
        <v>148</v>
      </c>
      <c r="B325" s="51"/>
      <c r="C325" s="7"/>
      <c r="D325" s="7"/>
      <c r="E325" s="52">
        <f t="shared" si="88"/>
        <v>0</v>
      </c>
      <c r="F325" s="51"/>
      <c r="G325" s="7"/>
      <c r="H325" s="52">
        <f t="shared" si="89"/>
        <v>0</v>
      </c>
      <c r="I325" s="51"/>
      <c r="J325" s="7"/>
      <c r="K325" s="52">
        <f t="shared" si="90"/>
        <v>0</v>
      </c>
      <c r="L325" s="51"/>
      <c r="M325" s="7"/>
      <c r="N325" s="165">
        <f t="shared" si="91"/>
        <v>0</v>
      </c>
    </row>
    <row r="326" spans="1:14" ht="12.75">
      <c r="A326" s="96" t="s">
        <v>269</v>
      </c>
      <c r="B326" s="51"/>
      <c r="C326" s="7"/>
      <c r="D326" s="7"/>
      <c r="E326" s="52">
        <f t="shared" si="88"/>
        <v>0</v>
      </c>
      <c r="F326" s="51">
        <v>81.7</v>
      </c>
      <c r="G326" s="7"/>
      <c r="H326" s="52">
        <f t="shared" si="89"/>
        <v>81.7</v>
      </c>
      <c r="I326" s="51"/>
      <c r="J326" s="7"/>
      <c r="K326" s="52">
        <f t="shared" si="90"/>
        <v>81.7</v>
      </c>
      <c r="L326" s="51"/>
      <c r="M326" s="7"/>
      <c r="N326" s="165">
        <f t="shared" si="91"/>
        <v>81.7</v>
      </c>
    </row>
    <row r="327" spans="1:14" ht="12.75">
      <c r="A327" s="77" t="s">
        <v>282</v>
      </c>
      <c r="B327" s="51"/>
      <c r="C327" s="7"/>
      <c r="D327" s="7"/>
      <c r="E327" s="52">
        <f t="shared" si="88"/>
        <v>0</v>
      </c>
      <c r="F327" s="51">
        <v>4454</v>
      </c>
      <c r="G327" s="7"/>
      <c r="H327" s="52">
        <f t="shared" si="89"/>
        <v>4454</v>
      </c>
      <c r="I327" s="51"/>
      <c r="J327" s="7"/>
      <c r="K327" s="52">
        <f t="shared" si="90"/>
        <v>4454</v>
      </c>
      <c r="L327" s="51">
        <f>699.5</f>
        <v>699.5</v>
      </c>
      <c r="M327" s="7"/>
      <c r="N327" s="165">
        <f t="shared" si="91"/>
        <v>5153.5</v>
      </c>
    </row>
    <row r="328" spans="1:14" ht="12.75" hidden="1">
      <c r="A328" s="77" t="s">
        <v>76</v>
      </c>
      <c r="B328" s="51"/>
      <c r="C328" s="7"/>
      <c r="D328" s="7"/>
      <c r="E328" s="52">
        <f t="shared" si="88"/>
        <v>0</v>
      </c>
      <c r="F328" s="51"/>
      <c r="G328" s="7"/>
      <c r="H328" s="52">
        <f t="shared" si="89"/>
        <v>0</v>
      </c>
      <c r="I328" s="51"/>
      <c r="J328" s="9"/>
      <c r="K328" s="52">
        <f t="shared" si="90"/>
        <v>0</v>
      </c>
      <c r="L328" s="51"/>
      <c r="M328" s="7"/>
      <c r="N328" s="165">
        <f t="shared" si="91"/>
        <v>0</v>
      </c>
    </row>
    <row r="329" spans="1:14" ht="12.75">
      <c r="A329" s="84" t="s">
        <v>107</v>
      </c>
      <c r="B329" s="55">
        <v>18509.3</v>
      </c>
      <c r="C329" s="10">
        <f>54212.9+5836.9</f>
        <v>60049.8</v>
      </c>
      <c r="D329" s="10">
        <v>3600</v>
      </c>
      <c r="E329" s="56">
        <f t="shared" si="88"/>
        <v>82159.1</v>
      </c>
      <c r="F329" s="55">
        <f>297.7+1827.6+3448.2+78</f>
        <v>5651.5</v>
      </c>
      <c r="G329" s="10">
        <f>14250+8791.1</f>
        <v>23041.1</v>
      </c>
      <c r="H329" s="56">
        <f t="shared" si="89"/>
        <v>110851.70000000001</v>
      </c>
      <c r="I329" s="55">
        <f>14.9-30+761.2+3008.8+1781.5</f>
        <v>5536.4</v>
      </c>
      <c r="J329" s="148">
        <v>8402.9</v>
      </c>
      <c r="K329" s="56">
        <f t="shared" si="90"/>
        <v>124791</v>
      </c>
      <c r="L329" s="55">
        <f>2859.4+1810.5+252.3+159.8+10711.6+1629.2+1474.2+1460+63.2-140.8-2445.5-699.5+3542.6+409.9+855+3105.8+512.5+1549.7+182.7+2650.2+1466.4+2.9+55.3+435-3939.6</f>
        <v>27962.800000000007</v>
      </c>
      <c r="M329" s="10"/>
      <c r="N329" s="164">
        <f t="shared" si="91"/>
        <v>152753.80000000002</v>
      </c>
    </row>
    <row r="330" spans="1:14" ht="12.75">
      <c r="A330" s="70" t="s">
        <v>149</v>
      </c>
      <c r="B330" s="49">
        <f aca="true" t="shared" si="92" ref="B330:N330">B331+B341</f>
        <v>403115.8</v>
      </c>
      <c r="C330" s="6">
        <f t="shared" si="92"/>
        <v>17653</v>
      </c>
      <c r="D330" s="6">
        <f t="shared" si="92"/>
        <v>6000</v>
      </c>
      <c r="E330" s="50">
        <f t="shared" si="92"/>
        <v>426768.8</v>
      </c>
      <c r="F330" s="49">
        <f t="shared" si="92"/>
        <v>49485.299999999996</v>
      </c>
      <c r="G330" s="6">
        <f t="shared" si="92"/>
        <v>-5100</v>
      </c>
      <c r="H330" s="50">
        <f t="shared" si="92"/>
        <v>471154.10000000003</v>
      </c>
      <c r="I330" s="49">
        <f t="shared" si="92"/>
        <v>27435.600000000002</v>
      </c>
      <c r="J330" s="6">
        <f t="shared" si="92"/>
        <v>-1971.7</v>
      </c>
      <c r="K330" s="50">
        <f t="shared" si="92"/>
        <v>496617.99999999994</v>
      </c>
      <c r="L330" s="49">
        <f t="shared" si="92"/>
        <v>12262.5</v>
      </c>
      <c r="M330" s="6">
        <f t="shared" si="92"/>
        <v>0</v>
      </c>
      <c r="N330" s="149">
        <f t="shared" si="92"/>
        <v>508880.5</v>
      </c>
    </row>
    <row r="331" spans="1:14" ht="12.75">
      <c r="A331" s="79" t="s">
        <v>69</v>
      </c>
      <c r="B331" s="59">
        <f aca="true" t="shared" si="93" ref="B331:N331">SUM(B333:B340)</f>
        <v>388053</v>
      </c>
      <c r="C331" s="12">
        <f t="shared" si="93"/>
        <v>3620.7</v>
      </c>
      <c r="D331" s="12">
        <f t="shared" si="93"/>
        <v>6000</v>
      </c>
      <c r="E331" s="60">
        <f t="shared" si="93"/>
        <v>397673.7</v>
      </c>
      <c r="F331" s="59">
        <f t="shared" si="93"/>
        <v>8509.199999999999</v>
      </c>
      <c r="G331" s="12">
        <f t="shared" si="93"/>
        <v>-100</v>
      </c>
      <c r="H331" s="60">
        <f t="shared" si="93"/>
        <v>406082.9</v>
      </c>
      <c r="I331" s="59">
        <f t="shared" si="93"/>
        <v>26778.100000000002</v>
      </c>
      <c r="J331" s="12">
        <f t="shared" si="93"/>
        <v>50</v>
      </c>
      <c r="K331" s="60">
        <f t="shared" si="93"/>
        <v>432910.99999999994</v>
      </c>
      <c r="L331" s="59">
        <f t="shared" si="93"/>
        <v>118</v>
      </c>
      <c r="M331" s="12">
        <f t="shared" si="93"/>
        <v>0</v>
      </c>
      <c r="N331" s="150">
        <f t="shared" si="93"/>
        <v>433029</v>
      </c>
    </row>
    <row r="332" spans="1:14" ht="12.75">
      <c r="A332" s="75" t="s">
        <v>38</v>
      </c>
      <c r="B332" s="51"/>
      <c r="C332" s="7"/>
      <c r="D332" s="7"/>
      <c r="E332" s="50"/>
      <c r="F332" s="51"/>
      <c r="G332" s="7"/>
      <c r="H332" s="50"/>
      <c r="I332" s="51"/>
      <c r="J332" s="7"/>
      <c r="K332" s="50"/>
      <c r="L332" s="51"/>
      <c r="M332" s="7"/>
      <c r="N332" s="149"/>
    </row>
    <row r="333" spans="1:14" ht="12.75">
      <c r="A333" s="72" t="s">
        <v>104</v>
      </c>
      <c r="B333" s="51">
        <v>201688</v>
      </c>
      <c r="C333" s="7">
        <v>-1061.9</v>
      </c>
      <c r="D333" s="7">
        <v>1000</v>
      </c>
      <c r="E333" s="52">
        <f aca="true" t="shared" si="94" ref="E333:E340">B333+C333+D333</f>
        <v>201626.1</v>
      </c>
      <c r="F333" s="51">
        <v>5660</v>
      </c>
      <c r="G333" s="7"/>
      <c r="H333" s="52">
        <f aca="true" t="shared" si="95" ref="H333:H340">E333+F333+G333</f>
        <v>207286.1</v>
      </c>
      <c r="I333" s="51"/>
      <c r="J333" s="7">
        <v>50</v>
      </c>
      <c r="K333" s="52">
        <f aca="true" t="shared" si="96" ref="K333:K340">H333+I333+J333</f>
        <v>207336.1</v>
      </c>
      <c r="L333" s="51">
        <f>207-300</f>
        <v>-93</v>
      </c>
      <c r="M333" s="7"/>
      <c r="N333" s="165">
        <f aca="true" t="shared" si="97" ref="N333:N340">K333+L333+M333</f>
        <v>207243.1</v>
      </c>
    </row>
    <row r="334" spans="1:14" ht="12.75">
      <c r="A334" s="77" t="s">
        <v>88</v>
      </c>
      <c r="B334" s="51">
        <v>176250</v>
      </c>
      <c r="C334" s="7"/>
      <c r="D334" s="7"/>
      <c r="E334" s="52">
        <f t="shared" si="94"/>
        <v>176250</v>
      </c>
      <c r="F334" s="51"/>
      <c r="G334" s="7"/>
      <c r="H334" s="52">
        <f t="shared" si="95"/>
        <v>176250</v>
      </c>
      <c r="I334" s="51">
        <v>25000</v>
      </c>
      <c r="J334" s="7"/>
      <c r="K334" s="52">
        <f t="shared" si="96"/>
        <v>201250</v>
      </c>
      <c r="L334" s="51"/>
      <c r="M334" s="7"/>
      <c r="N334" s="165">
        <f t="shared" si="97"/>
        <v>201250</v>
      </c>
    </row>
    <row r="335" spans="1:14" ht="12.75">
      <c r="A335" s="77" t="s">
        <v>72</v>
      </c>
      <c r="B335" s="68">
        <v>10015</v>
      </c>
      <c r="C335" s="7">
        <f>2140+2460.7</f>
        <v>4600.7</v>
      </c>
      <c r="D335" s="7">
        <v>5000</v>
      </c>
      <c r="E335" s="52">
        <f t="shared" si="94"/>
        <v>19615.7</v>
      </c>
      <c r="F335" s="51"/>
      <c r="G335" s="7"/>
      <c r="H335" s="52">
        <f t="shared" si="95"/>
        <v>19615.7</v>
      </c>
      <c r="I335" s="51">
        <v>1200</v>
      </c>
      <c r="J335" s="7"/>
      <c r="K335" s="52">
        <f t="shared" si="96"/>
        <v>20815.7</v>
      </c>
      <c r="L335" s="51"/>
      <c r="M335" s="7"/>
      <c r="N335" s="165">
        <f t="shared" si="97"/>
        <v>20815.7</v>
      </c>
    </row>
    <row r="336" spans="1:14" ht="12.75">
      <c r="A336" s="77" t="s">
        <v>108</v>
      </c>
      <c r="B336" s="68">
        <v>100</v>
      </c>
      <c r="C336" s="7">
        <v>24.9</v>
      </c>
      <c r="D336" s="7"/>
      <c r="E336" s="52">
        <f t="shared" si="94"/>
        <v>124.9</v>
      </c>
      <c r="F336" s="51">
        <f>-24.9+80.2+175</f>
        <v>230.3</v>
      </c>
      <c r="G336" s="7">
        <v>-100</v>
      </c>
      <c r="H336" s="52">
        <f t="shared" si="95"/>
        <v>255.20000000000005</v>
      </c>
      <c r="I336" s="51">
        <v>34.9</v>
      </c>
      <c r="J336" s="7"/>
      <c r="K336" s="52">
        <f t="shared" si="96"/>
        <v>290.1</v>
      </c>
      <c r="L336" s="51">
        <f>39.2+50.7</f>
        <v>89.9</v>
      </c>
      <c r="M336" s="7"/>
      <c r="N336" s="165">
        <f t="shared" si="97"/>
        <v>380</v>
      </c>
    </row>
    <row r="337" spans="1:14" ht="12.75">
      <c r="A337" s="77" t="s">
        <v>224</v>
      </c>
      <c r="B337" s="68"/>
      <c r="C337" s="7"/>
      <c r="D337" s="7"/>
      <c r="E337" s="52">
        <f t="shared" si="94"/>
        <v>0</v>
      </c>
      <c r="F337" s="51">
        <v>2273.5</v>
      </c>
      <c r="G337" s="7"/>
      <c r="H337" s="52">
        <f t="shared" si="95"/>
        <v>2273.5</v>
      </c>
      <c r="I337" s="51"/>
      <c r="J337" s="7"/>
      <c r="K337" s="52">
        <f t="shared" si="96"/>
        <v>2273.5</v>
      </c>
      <c r="L337" s="51"/>
      <c r="M337" s="7"/>
      <c r="N337" s="165">
        <f t="shared" si="97"/>
        <v>2273.5</v>
      </c>
    </row>
    <row r="338" spans="1:14" ht="12.75">
      <c r="A338" s="77" t="s">
        <v>150</v>
      </c>
      <c r="B338" s="51"/>
      <c r="C338" s="7"/>
      <c r="D338" s="7"/>
      <c r="E338" s="52">
        <f t="shared" si="94"/>
        <v>0</v>
      </c>
      <c r="F338" s="51">
        <v>224.5</v>
      </c>
      <c r="G338" s="7"/>
      <c r="H338" s="52">
        <f t="shared" si="95"/>
        <v>224.5</v>
      </c>
      <c r="I338" s="51">
        <f>205+204</f>
        <v>409</v>
      </c>
      <c r="J338" s="7"/>
      <c r="K338" s="52">
        <f t="shared" si="96"/>
        <v>633.5</v>
      </c>
      <c r="L338" s="69"/>
      <c r="M338" s="7"/>
      <c r="N338" s="165">
        <f t="shared" si="97"/>
        <v>633.5</v>
      </c>
    </row>
    <row r="339" spans="1:14" ht="12.75" hidden="1">
      <c r="A339" s="77" t="s">
        <v>151</v>
      </c>
      <c r="B339" s="51"/>
      <c r="C339" s="7"/>
      <c r="D339" s="7"/>
      <c r="E339" s="52">
        <f t="shared" si="94"/>
        <v>0</v>
      </c>
      <c r="F339" s="51"/>
      <c r="G339" s="7"/>
      <c r="H339" s="52">
        <f t="shared" si="95"/>
        <v>0</v>
      </c>
      <c r="I339" s="51"/>
      <c r="J339" s="7"/>
      <c r="K339" s="52">
        <f t="shared" si="96"/>
        <v>0</v>
      </c>
      <c r="L339" s="51"/>
      <c r="M339" s="7"/>
      <c r="N339" s="165">
        <f t="shared" si="97"/>
        <v>0</v>
      </c>
    </row>
    <row r="340" spans="1:14" ht="12.75">
      <c r="A340" s="77" t="s">
        <v>152</v>
      </c>
      <c r="B340" s="51"/>
      <c r="C340" s="7">
        <v>57</v>
      </c>
      <c r="D340" s="7"/>
      <c r="E340" s="52">
        <f t="shared" si="94"/>
        <v>57</v>
      </c>
      <c r="F340" s="51">
        <v>120.9</v>
      </c>
      <c r="G340" s="7"/>
      <c r="H340" s="52">
        <f t="shared" si="95"/>
        <v>177.9</v>
      </c>
      <c r="I340" s="51">
        <v>134.2</v>
      </c>
      <c r="J340" s="7"/>
      <c r="K340" s="52">
        <f t="shared" si="96"/>
        <v>312.1</v>
      </c>
      <c r="L340" s="51">
        <v>121.1</v>
      </c>
      <c r="M340" s="7"/>
      <c r="N340" s="165">
        <f t="shared" si="97"/>
        <v>433.20000000000005</v>
      </c>
    </row>
    <row r="341" spans="1:14" ht="12.75">
      <c r="A341" s="79" t="s">
        <v>75</v>
      </c>
      <c r="B341" s="59">
        <f>SUM(B343:B348)</f>
        <v>15062.8</v>
      </c>
      <c r="C341" s="12">
        <f>SUM(C343:C348)</f>
        <v>14032.300000000001</v>
      </c>
      <c r="D341" s="12">
        <f>SUM(D344:D348)</f>
        <v>0</v>
      </c>
      <c r="E341" s="60">
        <f aca="true" t="shared" si="98" ref="E341:K341">SUM(E343:E348)</f>
        <v>29095.1</v>
      </c>
      <c r="F341" s="59">
        <f t="shared" si="98"/>
        <v>40976.1</v>
      </c>
      <c r="G341" s="12">
        <f t="shared" si="98"/>
        <v>-5000</v>
      </c>
      <c r="H341" s="60">
        <f t="shared" si="98"/>
        <v>65071.200000000004</v>
      </c>
      <c r="I341" s="59">
        <f t="shared" si="98"/>
        <v>657.5</v>
      </c>
      <c r="J341" s="12">
        <f t="shared" si="98"/>
        <v>-2021.7</v>
      </c>
      <c r="K341" s="60">
        <f t="shared" si="98"/>
        <v>63707.00000000001</v>
      </c>
      <c r="L341" s="59">
        <f>SUM(L343:L348)</f>
        <v>12144.5</v>
      </c>
      <c r="M341" s="12">
        <f>SUM(M343:M348)</f>
        <v>0</v>
      </c>
      <c r="N341" s="150">
        <f>SUM(N343:N348)</f>
        <v>75851.5</v>
      </c>
    </row>
    <row r="342" spans="1:14" ht="12.75">
      <c r="A342" s="75" t="s">
        <v>38</v>
      </c>
      <c r="B342" s="51"/>
      <c r="C342" s="7"/>
      <c r="D342" s="7"/>
      <c r="E342" s="52"/>
      <c r="F342" s="51"/>
      <c r="G342" s="7"/>
      <c r="H342" s="52"/>
      <c r="I342" s="51"/>
      <c r="J342" s="7"/>
      <c r="K342" s="52"/>
      <c r="L342" s="51"/>
      <c r="M342" s="7"/>
      <c r="N342" s="165"/>
    </row>
    <row r="343" spans="1:14" ht="12.75">
      <c r="A343" s="77" t="s">
        <v>108</v>
      </c>
      <c r="B343" s="51">
        <v>15062.8</v>
      </c>
      <c r="C343" s="7">
        <f>4141.1+7233.8+2657.4</f>
        <v>14032.300000000001</v>
      </c>
      <c r="D343" s="7"/>
      <c r="E343" s="52">
        <f>B343+C343+D343</f>
        <v>29095.1</v>
      </c>
      <c r="F343" s="51">
        <f>-7233.8+35256</f>
        <v>28022.2</v>
      </c>
      <c r="G343" s="7">
        <v>-5000</v>
      </c>
      <c r="H343" s="52">
        <f>E343+F343+G343</f>
        <v>52117.3</v>
      </c>
      <c r="I343" s="51">
        <v>657.5</v>
      </c>
      <c r="J343" s="7">
        <v>-2021.7</v>
      </c>
      <c r="K343" s="52">
        <f aca="true" t="shared" si="99" ref="K343:K348">H343+I343+J343</f>
        <v>50753.100000000006</v>
      </c>
      <c r="L343" s="51">
        <f>4044.3+608.4+565.3+6134.5+467</f>
        <v>11819.5</v>
      </c>
      <c r="M343" s="7"/>
      <c r="N343" s="165">
        <f aca="true" t="shared" si="100" ref="N343:N348">K343+L343+M343</f>
        <v>62572.600000000006</v>
      </c>
    </row>
    <row r="344" spans="1:14" ht="12.75" hidden="1">
      <c r="A344" s="82" t="s">
        <v>153</v>
      </c>
      <c r="B344" s="51"/>
      <c r="C344" s="7"/>
      <c r="D344" s="7"/>
      <c r="E344" s="52">
        <f>B344+C344+D344</f>
        <v>0</v>
      </c>
      <c r="F344" s="51"/>
      <c r="G344" s="7"/>
      <c r="H344" s="52">
        <f>E344+F344+G344</f>
        <v>0</v>
      </c>
      <c r="I344" s="51"/>
      <c r="J344" s="7"/>
      <c r="K344" s="52">
        <f t="shared" si="99"/>
        <v>0</v>
      </c>
      <c r="L344" s="51"/>
      <c r="M344" s="7"/>
      <c r="N344" s="165">
        <f t="shared" si="100"/>
        <v>0</v>
      </c>
    </row>
    <row r="345" spans="1:14" ht="12.75">
      <c r="A345" s="77" t="s">
        <v>147</v>
      </c>
      <c r="B345" s="51"/>
      <c r="C345" s="7"/>
      <c r="D345" s="7"/>
      <c r="E345" s="52">
        <f>B345+C345+D345</f>
        <v>0</v>
      </c>
      <c r="F345" s="51"/>
      <c r="G345" s="7"/>
      <c r="H345" s="52">
        <f>E345+F345+G345</f>
        <v>0</v>
      </c>
      <c r="I345" s="51"/>
      <c r="J345" s="7"/>
      <c r="K345" s="52">
        <f t="shared" si="99"/>
        <v>0</v>
      </c>
      <c r="L345" s="51">
        <v>300</v>
      </c>
      <c r="M345" s="7"/>
      <c r="N345" s="165">
        <f t="shared" si="100"/>
        <v>300</v>
      </c>
    </row>
    <row r="346" spans="1:14" ht="12.75">
      <c r="A346" s="77" t="s">
        <v>324</v>
      </c>
      <c r="B346" s="51"/>
      <c r="C346" s="102"/>
      <c r="D346" s="102"/>
      <c r="E346" s="52"/>
      <c r="F346" s="51"/>
      <c r="G346" s="102"/>
      <c r="H346" s="52"/>
      <c r="I346" s="51"/>
      <c r="J346" s="102"/>
      <c r="K346" s="52">
        <f t="shared" si="99"/>
        <v>0</v>
      </c>
      <c r="L346" s="51">
        <v>25</v>
      </c>
      <c r="M346" s="7"/>
      <c r="N346" s="165">
        <f t="shared" si="100"/>
        <v>25</v>
      </c>
    </row>
    <row r="347" spans="1:14" ht="13.5" thickBot="1">
      <c r="A347" s="178" t="s">
        <v>224</v>
      </c>
      <c r="B347" s="159"/>
      <c r="C347" s="179"/>
      <c r="D347" s="179"/>
      <c r="E347" s="161">
        <f>B347+C347+D347</f>
        <v>0</v>
      </c>
      <c r="F347" s="159">
        <v>12953.9</v>
      </c>
      <c r="G347" s="179"/>
      <c r="H347" s="161">
        <f>E347+F347+G347</f>
        <v>12953.9</v>
      </c>
      <c r="I347" s="159"/>
      <c r="J347" s="179"/>
      <c r="K347" s="161">
        <f t="shared" si="99"/>
        <v>12953.9</v>
      </c>
      <c r="L347" s="159"/>
      <c r="M347" s="160"/>
      <c r="N347" s="177">
        <f t="shared" si="100"/>
        <v>12953.9</v>
      </c>
    </row>
    <row r="348" spans="1:14" ht="12.75" hidden="1">
      <c r="A348" s="76" t="s">
        <v>76</v>
      </c>
      <c r="B348" s="55"/>
      <c r="C348" s="16"/>
      <c r="D348" s="16"/>
      <c r="E348" s="56">
        <f>B348+C348+D348</f>
        <v>0</v>
      </c>
      <c r="F348" s="55"/>
      <c r="G348" s="16"/>
      <c r="H348" s="56">
        <f>E348+F348+G348</f>
        <v>0</v>
      </c>
      <c r="I348" s="55"/>
      <c r="J348" s="16"/>
      <c r="K348" s="56">
        <f t="shared" si="99"/>
        <v>0</v>
      </c>
      <c r="L348" s="55"/>
      <c r="M348" s="10"/>
      <c r="N348" s="164">
        <f t="shared" si="100"/>
        <v>0</v>
      </c>
    </row>
    <row r="349" spans="1:14" ht="12.75">
      <c r="A349" s="85" t="s">
        <v>154</v>
      </c>
      <c r="B349" s="53">
        <f aca="true" t="shared" si="101" ref="B349:N349">B350+B361</f>
        <v>153298.99999999997</v>
      </c>
      <c r="C349" s="17">
        <f t="shared" si="101"/>
        <v>4057.9</v>
      </c>
      <c r="D349" s="17">
        <f t="shared" si="101"/>
        <v>0</v>
      </c>
      <c r="E349" s="66">
        <f t="shared" si="101"/>
        <v>157356.89999999997</v>
      </c>
      <c r="F349" s="53">
        <f t="shared" si="101"/>
        <v>35</v>
      </c>
      <c r="G349" s="17">
        <f t="shared" si="101"/>
        <v>0</v>
      </c>
      <c r="H349" s="54">
        <f t="shared" si="101"/>
        <v>157391.89999999997</v>
      </c>
      <c r="I349" s="53">
        <f t="shared" si="101"/>
        <v>6600</v>
      </c>
      <c r="J349" s="17">
        <f t="shared" si="101"/>
        <v>0</v>
      </c>
      <c r="K349" s="66">
        <f t="shared" si="101"/>
        <v>163991.89999999997</v>
      </c>
      <c r="L349" s="53">
        <f t="shared" si="101"/>
        <v>-3230.4</v>
      </c>
      <c r="M349" s="8">
        <f t="shared" si="101"/>
        <v>0</v>
      </c>
      <c r="N349" s="66">
        <f t="shared" si="101"/>
        <v>160761.49999999997</v>
      </c>
    </row>
    <row r="350" spans="1:14" ht="12.75">
      <c r="A350" s="79" t="s">
        <v>69</v>
      </c>
      <c r="B350" s="59">
        <f aca="true" t="shared" si="102" ref="B350:N350">SUM(B352:B360)</f>
        <v>149099.09999999998</v>
      </c>
      <c r="C350" s="12">
        <f t="shared" si="102"/>
        <v>279</v>
      </c>
      <c r="D350" s="12">
        <f t="shared" si="102"/>
        <v>0</v>
      </c>
      <c r="E350" s="60">
        <f t="shared" si="102"/>
        <v>149378.09999999998</v>
      </c>
      <c r="F350" s="59">
        <f t="shared" si="102"/>
        <v>35</v>
      </c>
      <c r="G350" s="12">
        <f t="shared" si="102"/>
        <v>0</v>
      </c>
      <c r="H350" s="60">
        <f t="shared" si="102"/>
        <v>149413.09999999998</v>
      </c>
      <c r="I350" s="59">
        <f t="shared" si="102"/>
        <v>3100</v>
      </c>
      <c r="J350" s="12">
        <f t="shared" si="102"/>
        <v>0</v>
      </c>
      <c r="K350" s="60">
        <f t="shared" si="102"/>
        <v>152513.09999999998</v>
      </c>
      <c r="L350" s="59">
        <f t="shared" si="102"/>
        <v>-2400.9</v>
      </c>
      <c r="M350" s="12">
        <f t="shared" si="102"/>
        <v>0</v>
      </c>
      <c r="N350" s="150">
        <f t="shared" si="102"/>
        <v>150112.19999999998</v>
      </c>
    </row>
    <row r="351" spans="1:14" ht="12.75">
      <c r="A351" s="75" t="s">
        <v>38</v>
      </c>
      <c r="B351" s="51"/>
      <c r="C351" s="7"/>
      <c r="D351" s="7"/>
      <c r="E351" s="52"/>
      <c r="F351" s="51"/>
      <c r="G351" s="7"/>
      <c r="H351" s="52"/>
      <c r="I351" s="51"/>
      <c r="J351" s="7"/>
      <c r="K351" s="52"/>
      <c r="L351" s="51"/>
      <c r="M351" s="7"/>
      <c r="N351" s="165"/>
    </row>
    <row r="352" spans="1:14" ht="12.75">
      <c r="A352" s="77" t="s">
        <v>104</v>
      </c>
      <c r="B352" s="51">
        <v>123850.8</v>
      </c>
      <c r="C352" s="7">
        <f>210-315.5</f>
        <v>-105.5</v>
      </c>
      <c r="D352" s="7"/>
      <c r="E352" s="52">
        <f>B352+C352+D352</f>
        <v>123745.3</v>
      </c>
      <c r="F352" s="51"/>
      <c r="G352" s="7">
        <v>10</v>
      </c>
      <c r="H352" s="52">
        <f>E352+F352+G352</f>
        <v>123755.3</v>
      </c>
      <c r="I352" s="51">
        <v>1000</v>
      </c>
      <c r="J352" s="7"/>
      <c r="K352" s="52">
        <f>H352+I352+J352</f>
        <v>124755.3</v>
      </c>
      <c r="L352" s="51">
        <f>1000+22</f>
        <v>1022</v>
      </c>
      <c r="M352" s="7"/>
      <c r="N352" s="165">
        <f>K352+L352+M352</f>
        <v>125777.3</v>
      </c>
    </row>
    <row r="353" spans="1:14" ht="12.75">
      <c r="A353" s="77" t="s">
        <v>72</v>
      </c>
      <c r="B353" s="51">
        <v>22200</v>
      </c>
      <c r="C353" s="7">
        <f>-5670-740-210</f>
        <v>-6620</v>
      </c>
      <c r="D353" s="7"/>
      <c r="E353" s="52">
        <f aca="true" t="shared" si="103" ref="E353:E360">B353+C353+D353</f>
        <v>15580</v>
      </c>
      <c r="F353" s="51"/>
      <c r="G353" s="7">
        <v>60</v>
      </c>
      <c r="H353" s="52">
        <f aca="true" t="shared" si="104" ref="H353:H360">E353+F353+G353</f>
        <v>15640</v>
      </c>
      <c r="I353" s="51">
        <v>1000</v>
      </c>
      <c r="J353" s="7"/>
      <c r="K353" s="52">
        <f aca="true" t="shared" si="105" ref="K353:K360">H353+I353+J353</f>
        <v>16640</v>
      </c>
      <c r="L353" s="51">
        <f>-792-2350-22-1000+1000</f>
        <v>-3164</v>
      </c>
      <c r="M353" s="7"/>
      <c r="N353" s="165">
        <f aca="true" t="shared" si="106" ref="N353:N360">K353+L353+M353</f>
        <v>13476</v>
      </c>
    </row>
    <row r="354" spans="1:14" ht="12.75">
      <c r="A354" s="77" t="s">
        <v>206</v>
      </c>
      <c r="B354" s="51">
        <v>3000</v>
      </c>
      <c r="C354" s="7"/>
      <c r="D354" s="7"/>
      <c r="E354" s="52">
        <f t="shared" si="103"/>
        <v>3000</v>
      </c>
      <c r="F354" s="51"/>
      <c r="G354" s="7"/>
      <c r="H354" s="52">
        <f t="shared" si="104"/>
        <v>3000</v>
      </c>
      <c r="I354" s="51"/>
      <c r="J354" s="7"/>
      <c r="K354" s="52">
        <f t="shared" si="105"/>
        <v>3000</v>
      </c>
      <c r="L354" s="51">
        <v>-208</v>
      </c>
      <c r="M354" s="7"/>
      <c r="N354" s="165">
        <f t="shared" si="106"/>
        <v>2792</v>
      </c>
    </row>
    <row r="355" spans="1:14" ht="12.75">
      <c r="A355" s="77" t="s">
        <v>89</v>
      </c>
      <c r="B355" s="51"/>
      <c r="C355" s="7">
        <f>5670+740</f>
        <v>6410</v>
      </c>
      <c r="D355" s="7"/>
      <c r="E355" s="52">
        <f t="shared" si="103"/>
        <v>6410</v>
      </c>
      <c r="F355" s="51"/>
      <c r="G355" s="7">
        <v>-70</v>
      </c>
      <c r="H355" s="52">
        <f t="shared" si="104"/>
        <v>6340</v>
      </c>
      <c r="I355" s="51">
        <v>500</v>
      </c>
      <c r="J355" s="7"/>
      <c r="K355" s="52">
        <f t="shared" si="105"/>
        <v>6840</v>
      </c>
      <c r="L355" s="51"/>
      <c r="M355" s="7"/>
      <c r="N355" s="165">
        <f t="shared" si="106"/>
        <v>6840</v>
      </c>
    </row>
    <row r="356" spans="1:14" ht="12.75">
      <c r="A356" s="77" t="s">
        <v>155</v>
      </c>
      <c r="B356" s="51"/>
      <c r="C356" s="7"/>
      <c r="D356" s="7"/>
      <c r="E356" s="52">
        <f t="shared" si="103"/>
        <v>0</v>
      </c>
      <c r="F356" s="51">
        <v>35</v>
      </c>
      <c r="G356" s="7"/>
      <c r="H356" s="52">
        <f t="shared" si="104"/>
        <v>35</v>
      </c>
      <c r="I356" s="51">
        <f>19+415</f>
        <v>434</v>
      </c>
      <c r="J356" s="7"/>
      <c r="K356" s="52">
        <f t="shared" si="105"/>
        <v>469</v>
      </c>
      <c r="L356" s="51">
        <v>30</v>
      </c>
      <c r="M356" s="7"/>
      <c r="N356" s="165">
        <f t="shared" si="106"/>
        <v>499</v>
      </c>
    </row>
    <row r="357" spans="1:14" ht="12.75">
      <c r="A357" s="77" t="s">
        <v>156</v>
      </c>
      <c r="B357" s="51"/>
      <c r="C357" s="7"/>
      <c r="D357" s="7"/>
      <c r="E357" s="52">
        <f t="shared" si="103"/>
        <v>0</v>
      </c>
      <c r="F357" s="51"/>
      <c r="G357" s="7"/>
      <c r="H357" s="52">
        <f t="shared" si="104"/>
        <v>0</v>
      </c>
      <c r="I357" s="51">
        <v>166</v>
      </c>
      <c r="J357" s="7"/>
      <c r="K357" s="52">
        <f t="shared" si="105"/>
        <v>166</v>
      </c>
      <c r="L357" s="51"/>
      <c r="M357" s="7"/>
      <c r="N357" s="165">
        <f t="shared" si="106"/>
        <v>166</v>
      </c>
    </row>
    <row r="358" spans="1:14" ht="12.75">
      <c r="A358" s="77" t="s">
        <v>282</v>
      </c>
      <c r="B358" s="51"/>
      <c r="C358" s="7"/>
      <c r="D358" s="7"/>
      <c r="E358" s="52"/>
      <c r="F358" s="51"/>
      <c r="G358" s="7"/>
      <c r="H358" s="52"/>
      <c r="I358" s="51"/>
      <c r="J358" s="7"/>
      <c r="K358" s="52">
        <f t="shared" si="105"/>
        <v>0</v>
      </c>
      <c r="L358" s="51">
        <f>83.6</f>
        <v>83.6</v>
      </c>
      <c r="M358" s="7"/>
      <c r="N358" s="165">
        <f t="shared" si="106"/>
        <v>83.6</v>
      </c>
    </row>
    <row r="359" spans="1:14" ht="12.75">
      <c r="A359" s="77" t="s">
        <v>108</v>
      </c>
      <c r="B359" s="51">
        <v>48.3</v>
      </c>
      <c r="C359" s="7">
        <v>594.5</v>
      </c>
      <c r="D359" s="7"/>
      <c r="E359" s="52">
        <f t="shared" si="103"/>
        <v>642.8</v>
      </c>
      <c r="F359" s="51"/>
      <c r="G359" s="7"/>
      <c r="H359" s="52">
        <f t="shared" si="104"/>
        <v>642.8</v>
      </c>
      <c r="I359" s="51"/>
      <c r="J359" s="7"/>
      <c r="K359" s="52">
        <f t="shared" si="105"/>
        <v>642.8</v>
      </c>
      <c r="L359" s="51">
        <f>-83.6-80.9</f>
        <v>-164.5</v>
      </c>
      <c r="M359" s="7"/>
      <c r="N359" s="165">
        <f t="shared" si="106"/>
        <v>478.29999999999995</v>
      </c>
    </row>
    <row r="360" spans="1:14" ht="12.75" hidden="1">
      <c r="A360" s="77" t="s">
        <v>93</v>
      </c>
      <c r="B360" s="51"/>
      <c r="C360" s="7"/>
      <c r="D360" s="7"/>
      <c r="E360" s="52">
        <f t="shared" si="103"/>
        <v>0</v>
      </c>
      <c r="F360" s="51"/>
      <c r="G360" s="7"/>
      <c r="H360" s="52">
        <f t="shared" si="104"/>
        <v>0</v>
      </c>
      <c r="I360" s="51"/>
      <c r="J360" s="7"/>
      <c r="K360" s="52">
        <f t="shared" si="105"/>
        <v>0</v>
      </c>
      <c r="L360" s="51"/>
      <c r="M360" s="7"/>
      <c r="N360" s="165">
        <f t="shared" si="106"/>
        <v>0</v>
      </c>
    </row>
    <row r="361" spans="1:14" ht="12.75">
      <c r="A361" s="79" t="s">
        <v>75</v>
      </c>
      <c r="B361" s="59">
        <f>SUM(B363:B367)</f>
        <v>4199.9</v>
      </c>
      <c r="C361" s="12">
        <f>SUM(C363:C367)</f>
        <v>3778.9</v>
      </c>
      <c r="D361" s="12">
        <f aca="true" t="shared" si="107" ref="D361:J361">SUM(D367:D367)</f>
        <v>0</v>
      </c>
      <c r="E361" s="60">
        <f>SUM(E363:E367)</f>
        <v>7978.799999999999</v>
      </c>
      <c r="F361" s="59">
        <f t="shared" si="107"/>
        <v>0</v>
      </c>
      <c r="G361" s="12">
        <f t="shared" si="107"/>
        <v>0</v>
      </c>
      <c r="H361" s="60">
        <f>SUM(H363:H367)</f>
        <v>7978.799999999999</v>
      </c>
      <c r="I361" s="59">
        <f>SUM(I363:I367)</f>
        <v>3500</v>
      </c>
      <c r="J361" s="12">
        <f t="shared" si="107"/>
        <v>0</v>
      </c>
      <c r="K361" s="60">
        <f>SUM(K363:K367)</f>
        <v>11478.8</v>
      </c>
      <c r="L361" s="59">
        <f>SUM(L363:L367)</f>
        <v>-829.5000000000001</v>
      </c>
      <c r="M361" s="12">
        <f>SUM(M363:M367)</f>
        <v>0</v>
      </c>
      <c r="N361" s="150">
        <f>SUM(N363:N367)</f>
        <v>10649.3</v>
      </c>
    </row>
    <row r="362" spans="1:14" ht="12.75">
      <c r="A362" s="75" t="s">
        <v>38</v>
      </c>
      <c r="B362" s="51"/>
      <c r="C362" s="7"/>
      <c r="D362" s="7"/>
      <c r="E362" s="52"/>
      <c r="F362" s="51"/>
      <c r="G362" s="7"/>
      <c r="H362" s="52"/>
      <c r="I362" s="51"/>
      <c r="J362" s="7"/>
      <c r="K362" s="52"/>
      <c r="L362" s="51"/>
      <c r="M362" s="7"/>
      <c r="N362" s="165"/>
    </row>
    <row r="363" spans="1:14" ht="12.75" hidden="1">
      <c r="A363" s="120" t="s">
        <v>229</v>
      </c>
      <c r="B363" s="51"/>
      <c r="C363" s="7"/>
      <c r="D363" s="7"/>
      <c r="E363" s="52">
        <f>B363+C363+D363</f>
        <v>0</v>
      </c>
      <c r="F363" s="51"/>
      <c r="G363" s="7"/>
      <c r="H363" s="52">
        <f>E363+F363+G363</f>
        <v>0</v>
      </c>
      <c r="I363" s="51"/>
      <c r="J363" s="7"/>
      <c r="K363" s="52">
        <f>H363+I363+J363</f>
        <v>0</v>
      </c>
      <c r="L363" s="51"/>
      <c r="M363" s="7"/>
      <c r="N363" s="165">
        <f>K363+L363+M363</f>
        <v>0</v>
      </c>
    </row>
    <row r="364" spans="1:14" ht="12.75">
      <c r="A364" s="77" t="s">
        <v>282</v>
      </c>
      <c r="B364" s="51"/>
      <c r="C364" s="7"/>
      <c r="D364" s="7"/>
      <c r="E364" s="52"/>
      <c r="F364" s="51"/>
      <c r="G364" s="7"/>
      <c r="H364" s="52"/>
      <c r="I364" s="51"/>
      <c r="J364" s="7"/>
      <c r="K364" s="52">
        <f>H364+I364+J364</f>
        <v>0</v>
      </c>
      <c r="L364" s="51">
        <f>524.4</f>
        <v>524.4</v>
      </c>
      <c r="M364" s="7"/>
      <c r="N364" s="165">
        <f>K364+L364+M364</f>
        <v>524.4</v>
      </c>
    </row>
    <row r="365" spans="1:14" ht="12.75">
      <c r="A365" s="157" t="s">
        <v>96</v>
      </c>
      <c r="B365" s="51"/>
      <c r="C365" s="7"/>
      <c r="D365" s="7"/>
      <c r="E365" s="52"/>
      <c r="F365" s="51"/>
      <c r="G365" s="7"/>
      <c r="H365" s="52">
        <f>E365+F365+G365</f>
        <v>0</v>
      </c>
      <c r="I365" s="51">
        <v>3500</v>
      </c>
      <c r="J365" s="7"/>
      <c r="K365" s="52">
        <f>H365+I365+J365</f>
        <v>3500</v>
      </c>
      <c r="L365" s="51"/>
      <c r="M365" s="7"/>
      <c r="N365" s="165">
        <f>K365+L365+M365</f>
        <v>3500</v>
      </c>
    </row>
    <row r="366" spans="1:14" ht="12.75">
      <c r="A366" s="157" t="s">
        <v>76</v>
      </c>
      <c r="B366" s="51"/>
      <c r="C366" s="7"/>
      <c r="D366" s="7"/>
      <c r="E366" s="52"/>
      <c r="F366" s="51"/>
      <c r="G366" s="7"/>
      <c r="H366" s="52"/>
      <c r="I366" s="51"/>
      <c r="J366" s="7"/>
      <c r="K366" s="52">
        <f>H366+I366+J366</f>
        <v>0</v>
      </c>
      <c r="L366" s="51"/>
      <c r="M366" s="7"/>
      <c r="N366" s="165">
        <f>K366+L366+M366</f>
        <v>0</v>
      </c>
    </row>
    <row r="367" spans="1:14" ht="12.75">
      <c r="A367" s="84" t="s">
        <v>108</v>
      </c>
      <c r="B367" s="55">
        <v>4199.9</v>
      </c>
      <c r="C367" s="10">
        <v>3778.9</v>
      </c>
      <c r="D367" s="10"/>
      <c r="E367" s="56">
        <f>B367+C367+D367</f>
        <v>7978.799999999999</v>
      </c>
      <c r="F367" s="55"/>
      <c r="G367" s="10"/>
      <c r="H367" s="56">
        <f>E367+F367+G367</f>
        <v>7978.799999999999</v>
      </c>
      <c r="I367" s="55"/>
      <c r="J367" s="10"/>
      <c r="K367" s="56">
        <f>H367+I367+J367</f>
        <v>7978.799999999999</v>
      </c>
      <c r="L367" s="173">
        <f>-524.4+2350-3179.5</f>
        <v>-1353.9</v>
      </c>
      <c r="M367" s="10"/>
      <c r="N367" s="164">
        <f>K367+L367+M367</f>
        <v>6624.9</v>
      </c>
    </row>
    <row r="368" spans="1:14" ht="12.75">
      <c r="A368" s="70" t="s">
        <v>157</v>
      </c>
      <c r="B368" s="49">
        <f aca="true" t="shared" si="108" ref="B368:N368">B369+B392</f>
        <v>116178.4</v>
      </c>
      <c r="C368" s="6">
        <f t="shared" si="108"/>
        <v>21468.600000000002</v>
      </c>
      <c r="D368" s="6">
        <f t="shared" si="108"/>
        <v>0</v>
      </c>
      <c r="E368" s="50">
        <f t="shared" si="108"/>
        <v>137647</v>
      </c>
      <c r="F368" s="49">
        <f t="shared" si="108"/>
        <v>64638.4</v>
      </c>
      <c r="G368" s="6">
        <f t="shared" si="108"/>
        <v>29500</v>
      </c>
      <c r="H368" s="50">
        <f t="shared" si="108"/>
        <v>231785.4</v>
      </c>
      <c r="I368" s="49">
        <f t="shared" si="108"/>
        <v>47146.399999999994</v>
      </c>
      <c r="J368" s="6">
        <f t="shared" si="108"/>
        <v>3362</v>
      </c>
      <c r="K368" s="50">
        <f t="shared" si="108"/>
        <v>282293.8</v>
      </c>
      <c r="L368" s="49">
        <f t="shared" si="108"/>
        <v>30480.9</v>
      </c>
      <c r="M368" s="6">
        <f t="shared" si="108"/>
        <v>0</v>
      </c>
      <c r="N368" s="149">
        <f t="shared" si="108"/>
        <v>312774.7</v>
      </c>
    </row>
    <row r="369" spans="1:14" ht="12.75">
      <c r="A369" s="79" t="s">
        <v>69</v>
      </c>
      <c r="B369" s="59">
        <f>SUM(B371:B391)</f>
        <v>116178.4</v>
      </c>
      <c r="C369" s="12">
        <f aca="true" t="shared" si="109" ref="C369:N369">SUM(C371:C391)</f>
        <v>21434.4</v>
      </c>
      <c r="D369" s="12">
        <f t="shared" si="109"/>
        <v>0</v>
      </c>
      <c r="E369" s="60">
        <f t="shared" si="109"/>
        <v>137612.8</v>
      </c>
      <c r="F369" s="59">
        <f t="shared" si="109"/>
        <v>64604.200000000004</v>
      </c>
      <c r="G369" s="12">
        <f t="shared" si="109"/>
        <v>26500</v>
      </c>
      <c r="H369" s="60">
        <f t="shared" si="109"/>
        <v>228717</v>
      </c>
      <c r="I369" s="59">
        <f t="shared" si="109"/>
        <v>34171.6</v>
      </c>
      <c r="J369" s="12">
        <f t="shared" si="109"/>
        <v>3362</v>
      </c>
      <c r="K369" s="60">
        <f t="shared" si="109"/>
        <v>266250.6</v>
      </c>
      <c r="L369" s="59">
        <f t="shared" si="109"/>
        <v>30380.9</v>
      </c>
      <c r="M369" s="12">
        <f t="shared" si="109"/>
        <v>0</v>
      </c>
      <c r="N369" s="150">
        <f t="shared" si="109"/>
        <v>296631.5</v>
      </c>
    </row>
    <row r="370" spans="1:14" ht="12.75">
      <c r="A370" s="75" t="s">
        <v>38</v>
      </c>
      <c r="B370" s="51"/>
      <c r="C370" s="7"/>
      <c r="D370" s="7"/>
      <c r="E370" s="52"/>
      <c r="F370" s="51"/>
      <c r="G370" s="7"/>
      <c r="H370" s="52"/>
      <c r="I370" s="51"/>
      <c r="J370" s="7"/>
      <c r="K370" s="52"/>
      <c r="L370" s="51"/>
      <c r="M370" s="7"/>
      <c r="N370" s="165"/>
    </row>
    <row r="371" spans="1:14" ht="12.75">
      <c r="A371" s="86" t="s">
        <v>158</v>
      </c>
      <c r="B371" s="51">
        <v>107778.4</v>
      </c>
      <c r="C371" s="7">
        <v>-2784.5</v>
      </c>
      <c r="D371" s="7"/>
      <c r="E371" s="52">
        <f>B371+C371+D371</f>
        <v>104993.9</v>
      </c>
      <c r="F371" s="51">
        <v>13711.1</v>
      </c>
      <c r="G371" s="7"/>
      <c r="H371" s="52">
        <f>E371+F371+G371</f>
        <v>118705</v>
      </c>
      <c r="I371" s="51">
        <v>767</v>
      </c>
      <c r="J371" s="7"/>
      <c r="K371" s="52">
        <f>H371+I371+J371</f>
        <v>119472</v>
      </c>
      <c r="L371" s="51"/>
      <c r="M371" s="7"/>
      <c r="N371" s="165">
        <f>K371+L371+M371</f>
        <v>119472</v>
      </c>
    </row>
    <row r="372" spans="1:14" ht="12.75">
      <c r="A372" s="73" t="s">
        <v>283</v>
      </c>
      <c r="B372" s="51"/>
      <c r="C372" s="7"/>
      <c r="D372" s="7"/>
      <c r="E372" s="52">
        <f aca="true" t="shared" si="110" ref="E372:E391">B372+C372+D372</f>
        <v>0</v>
      </c>
      <c r="F372" s="51">
        <v>900</v>
      </c>
      <c r="G372" s="7"/>
      <c r="H372" s="52">
        <f aca="true" t="shared" si="111" ref="H372:H391">E372+F372+G372</f>
        <v>900</v>
      </c>
      <c r="I372" s="51"/>
      <c r="J372" s="7"/>
      <c r="K372" s="52">
        <f aca="true" t="shared" si="112" ref="K372:K391">H372+I372+J372</f>
        <v>900</v>
      </c>
      <c r="L372" s="51"/>
      <c r="M372" s="7"/>
      <c r="N372" s="165">
        <f aca="true" t="shared" si="113" ref="N372:N391">K372+L372+M372</f>
        <v>900</v>
      </c>
    </row>
    <row r="373" spans="1:14" ht="12.75">
      <c r="A373" s="73" t="s">
        <v>72</v>
      </c>
      <c r="B373" s="51">
        <v>8400</v>
      </c>
      <c r="C373" s="7">
        <v>500</v>
      </c>
      <c r="D373" s="7"/>
      <c r="E373" s="52">
        <f t="shared" si="110"/>
        <v>8900</v>
      </c>
      <c r="F373" s="51"/>
      <c r="G373" s="7"/>
      <c r="H373" s="52">
        <f t="shared" si="111"/>
        <v>8900</v>
      </c>
      <c r="I373" s="51"/>
      <c r="J373" s="7">
        <v>3362</v>
      </c>
      <c r="K373" s="52">
        <f t="shared" si="112"/>
        <v>12262</v>
      </c>
      <c r="L373" s="51">
        <f>-139-100-1000</f>
        <v>-1239</v>
      </c>
      <c r="M373" s="7"/>
      <c r="N373" s="165">
        <f t="shared" si="113"/>
        <v>11023</v>
      </c>
    </row>
    <row r="374" spans="1:14" ht="12.75" hidden="1">
      <c r="A374" s="73" t="s">
        <v>89</v>
      </c>
      <c r="B374" s="51"/>
      <c r="C374" s="7"/>
      <c r="D374" s="7"/>
      <c r="E374" s="52">
        <f t="shared" si="110"/>
        <v>0</v>
      </c>
      <c r="F374" s="51"/>
      <c r="G374" s="7"/>
      <c r="H374" s="52">
        <f t="shared" si="111"/>
        <v>0</v>
      </c>
      <c r="I374" s="51"/>
      <c r="J374" s="7"/>
      <c r="K374" s="52">
        <f t="shared" si="112"/>
        <v>0</v>
      </c>
      <c r="L374" s="51"/>
      <c r="M374" s="7"/>
      <c r="N374" s="165">
        <f t="shared" si="113"/>
        <v>0</v>
      </c>
    </row>
    <row r="375" spans="1:14" ht="12.75">
      <c r="A375" s="82" t="s">
        <v>256</v>
      </c>
      <c r="B375" s="51"/>
      <c r="C375" s="7">
        <v>1723.8</v>
      </c>
      <c r="D375" s="7"/>
      <c r="E375" s="52">
        <f t="shared" si="110"/>
        <v>1723.8</v>
      </c>
      <c r="F375" s="51"/>
      <c r="G375" s="7"/>
      <c r="H375" s="52">
        <f t="shared" si="111"/>
        <v>1723.8</v>
      </c>
      <c r="I375" s="51"/>
      <c r="J375" s="7"/>
      <c r="K375" s="52">
        <f t="shared" si="112"/>
        <v>1723.8</v>
      </c>
      <c r="L375" s="51"/>
      <c r="M375" s="7"/>
      <c r="N375" s="165">
        <f t="shared" si="113"/>
        <v>1723.8</v>
      </c>
    </row>
    <row r="376" spans="1:14" ht="12.75">
      <c r="A376" s="82" t="s">
        <v>257</v>
      </c>
      <c r="B376" s="51"/>
      <c r="C376" s="7"/>
      <c r="D376" s="7"/>
      <c r="E376" s="52">
        <f t="shared" si="110"/>
        <v>0</v>
      </c>
      <c r="F376" s="51">
        <v>1699.7</v>
      </c>
      <c r="G376" s="7"/>
      <c r="H376" s="52">
        <f t="shared" si="111"/>
        <v>1699.7</v>
      </c>
      <c r="I376" s="51">
        <f>567.8+2939.4</f>
        <v>3507.2</v>
      </c>
      <c r="J376" s="7"/>
      <c r="K376" s="52">
        <f t="shared" si="112"/>
        <v>5206.9</v>
      </c>
      <c r="L376" s="51">
        <v>2149.1</v>
      </c>
      <c r="M376" s="7"/>
      <c r="N376" s="165">
        <f t="shared" si="113"/>
        <v>7356</v>
      </c>
    </row>
    <row r="377" spans="1:14" ht="12.75">
      <c r="A377" s="82" t="s">
        <v>259</v>
      </c>
      <c r="B377" s="51"/>
      <c r="C377" s="7">
        <v>1633.7</v>
      </c>
      <c r="D377" s="7"/>
      <c r="E377" s="52">
        <f t="shared" si="110"/>
        <v>1633.7</v>
      </c>
      <c r="F377" s="51"/>
      <c r="G377" s="7"/>
      <c r="H377" s="52">
        <f t="shared" si="111"/>
        <v>1633.7</v>
      </c>
      <c r="I377" s="51"/>
      <c r="J377" s="7"/>
      <c r="K377" s="52">
        <f t="shared" si="112"/>
        <v>1633.7</v>
      </c>
      <c r="L377" s="51"/>
      <c r="M377" s="7"/>
      <c r="N377" s="165">
        <f t="shared" si="113"/>
        <v>1633.7</v>
      </c>
    </row>
    <row r="378" spans="1:14" ht="12.75">
      <c r="A378" s="82" t="s">
        <v>260</v>
      </c>
      <c r="B378" s="51"/>
      <c r="C378" s="7"/>
      <c r="D378" s="7"/>
      <c r="E378" s="52">
        <f t="shared" si="110"/>
        <v>0</v>
      </c>
      <c r="F378" s="51">
        <v>1868.2</v>
      </c>
      <c r="G378" s="7"/>
      <c r="H378" s="52">
        <f t="shared" si="111"/>
        <v>1868.2</v>
      </c>
      <c r="I378" s="51">
        <v>3619</v>
      </c>
      <c r="J378" s="7"/>
      <c r="K378" s="52">
        <f t="shared" si="112"/>
        <v>5487.2</v>
      </c>
      <c r="L378" s="51">
        <v>2049.1</v>
      </c>
      <c r="M378" s="7"/>
      <c r="N378" s="165">
        <f t="shared" si="113"/>
        <v>7536.299999999999</v>
      </c>
    </row>
    <row r="379" spans="1:14" ht="12.75">
      <c r="A379" s="73" t="s">
        <v>258</v>
      </c>
      <c r="B379" s="51"/>
      <c r="C379" s="7">
        <v>15590.4</v>
      </c>
      <c r="D379" s="7"/>
      <c r="E379" s="52">
        <f t="shared" si="110"/>
        <v>15590.4</v>
      </c>
      <c r="F379" s="51"/>
      <c r="G379" s="7"/>
      <c r="H379" s="52">
        <f t="shared" si="111"/>
        <v>15590.4</v>
      </c>
      <c r="I379" s="51"/>
      <c r="J379" s="7"/>
      <c r="K379" s="52">
        <f t="shared" si="112"/>
        <v>15590.4</v>
      </c>
      <c r="L379" s="51"/>
      <c r="M379" s="7"/>
      <c r="N379" s="165">
        <f t="shared" si="113"/>
        <v>15590.4</v>
      </c>
    </row>
    <row r="380" spans="1:14" ht="12.75">
      <c r="A380" s="73" t="s">
        <v>227</v>
      </c>
      <c r="B380" s="51"/>
      <c r="C380" s="7"/>
      <c r="D380" s="7"/>
      <c r="E380" s="52">
        <f t="shared" si="110"/>
        <v>0</v>
      </c>
      <c r="F380" s="51">
        <f>24756.8+15780.1</f>
        <v>40536.9</v>
      </c>
      <c r="G380" s="7"/>
      <c r="H380" s="52">
        <f t="shared" si="111"/>
        <v>40536.9</v>
      </c>
      <c r="I380" s="51">
        <v>22879</v>
      </c>
      <c r="J380" s="7"/>
      <c r="K380" s="52">
        <f t="shared" si="112"/>
        <v>63415.9</v>
      </c>
      <c r="L380" s="51">
        <v>23091.3</v>
      </c>
      <c r="M380" s="7"/>
      <c r="N380" s="165">
        <f t="shared" si="113"/>
        <v>86507.2</v>
      </c>
    </row>
    <row r="381" spans="1:14" ht="12.75">
      <c r="A381" s="71" t="s">
        <v>264</v>
      </c>
      <c r="B381" s="51"/>
      <c r="C381" s="7">
        <v>1717</v>
      </c>
      <c r="D381" s="7"/>
      <c r="E381" s="52">
        <f t="shared" si="110"/>
        <v>1717</v>
      </c>
      <c r="F381" s="51">
        <v>59</v>
      </c>
      <c r="G381" s="7"/>
      <c r="H381" s="52">
        <f t="shared" si="111"/>
        <v>1776</v>
      </c>
      <c r="I381" s="51"/>
      <c r="J381" s="7"/>
      <c r="K381" s="52">
        <f t="shared" si="112"/>
        <v>1776</v>
      </c>
      <c r="L381" s="51"/>
      <c r="M381" s="7"/>
      <c r="N381" s="165">
        <f t="shared" si="113"/>
        <v>1776</v>
      </c>
    </row>
    <row r="382" spans="1:14" ht="12.75">
      <c r="A382" s="71" t="s">
        <v>261</v>
      </c>
      <c r="B382" s="51"/>
      <c r="C382" s="7">
        <v>1655.9</v>
      </c>
      <c r="D382" s="7"/>
      <c r="E382" s="52">
        <f t="shared" si="110"/>
        <v>1655.9</v>
      </c>
      <c r="F382" s="51"/>
      <c r="G382" s="7"/>
      <c r="H382" s="52">
        <f t="shared" si="111"/>
        <v>1655.9</v>
      </c>
      <c r="I382" s="51"/>
      <c r="J382" s="7"/>
      <c r="K382" s="52">
        <f t="shared" si="112"/>
        <v>1655.9</v>
      </c>
      <c r="L382" s="51"/>
      <c r="M382" s="7"/>
      <c r="N382" s="165">
        <f t="shared" si="113"/>
        <v>1655.9</v>
      </c>
    </row>
    <row r="383" spans="1:14" ht="12.75">
      <c r="A383" s="82" t="s">
        <v>262</v>
      </c>
      <c r="B383" s="51"/>
      <c r="C383" s="7"/>
      <c r="D383" s="7"/>
      <c r="E383" s="52">
        <f t="shared" si="110"/>
        <v>0</v>
      </c>
      <c r="F383" s="51">
        <v>3150</v>
      </c>
      <c r="G383" s="7"/>
      <c r="H383" s="52">
        <f t="shared" si="111"/>
        <v>3150</v>
      </c>
      <c r="I383" s="51">
        <v>1781.3</v>
      </c>
      <c r="J383" s="7"/>
      <c r="K383" s="52">
        <f t="shared" si="112"/>
        <v>4931.3</v>
      </c>
      <c r="L383" s="51">
        <v>2515</v>
      </c>
      <c r="M383" s="7"/>
      <c r="N383" s="165">
        <f t="shared" si="113"/>
        <v>7446.3</v>
      </c>
    </row>
    <row r="384" spans="1:14" ht="12.75">
      <c r="A384" s="82" t="s">
        <v>263</v>
      </c>
      <c r="B384" s="51"/>
      <c r="C384" s="7">
        <v>275.4</v>
      </c>
      <c r="D384" s="7"/>
      <c r="E384" s="52">
        <f t="shared" si="110"/>
        <v>275.4</v>
      </c>
      <c r="F384" s="51"/>
      <c r="G384" s="7"/>
      <c r="H384" s="52">
        <f t="shared" si="111"/>
        <v>275.4</v>
      </c>
      <c r="I384" s="51"/>
      <c r="J384" s="7"/>
      <c r="K384" s="52">
        <f t="shared" si="112"/>
        <v>275.4</v>
      </c>
      <c r="L384" s="51"/>
      <c r="M384" s="7"/>
      <c r="N384" s="165">
        <f t="shared" si="113"/>
        <v>275.4</v>
      </c>
    </row>
    <row r="385" spans="1:14" ht="12.75">
      <c r="A385" s="82" t="s">
        <v>237</v>
      </c>
      <c r="B385" s="51"/>
      <c r="C385" s="7">
        <v>616.1</v>
      </c>
      <c r="D385" s="7"/>
      <c r="E385" s="52">
        <f t="shared" si="110"/>
        <v>616.1</v>
      </c>
      <c r="F385" s="51"/>
      <c r="G385" s="7"/>
      <c r="H385" s="52">
        <f t="shared" si="111"/>
        <v>616.1</v>
      </c>
      <c r="I385" s="51"/>
      <c r="J385" s="7"/>
      <c r="K385" s="52">
        <f t="shared" si="112"/>
        <v>616.1</v>
      </c>
      <c r="L385" s="51">
        <v>241.9</v>
      </c>
      <c r="M385" s="7"/>
      <c r="N385" s="165">
        <f t="shared" si="113"/>
        <v>858</v>
      </c>
    </row>
    <row r="386" spans="1:14" ht="12.75" hidden="1">
      <c r="A386" s="72" t="s">
        <v>159</v>
      </c>
      <c r="B386" s="51"/>
      <c r="C386" s="7"/>
      <c r="D386" s="7"/>
      <c r="E386" s="52">
        <f t="shared" si="110"/>
        <v>0</v>
      </c>
      <c r="F386" s="51"/>
      <c r="G386" s="7"/>
      <c r="H386" s="52">
        <f t="shared" si="111"/>
        <v>0</v>
      </c>
      <c r="I386" s="51"/>
      <c r="J386" s="7"/>
      <c r="K386" s="52">
        <f t="shared" si="112"/>
        <v>0</v>
      </c>
      <c r="L386" s="51"/>
      <c r="M386" s="7"/>
      <c r="N386" s="165">
        <f t="shared" si="113"/>
        <v>0</v>
      </c>
    </row>
    <row r="387" spans="1:14" ht="12.75">
      <c r="A387" s="73" t="s">
        <v>160</v>
      </c>
      <c r="B387" s="51"/>
      <c r="C387" s="7">
        <v>506.6</v>
      </c>
      <c r="D387" s="7"/>
      <c r="E387" s="52">
        <f t="shared" si="110"/>
        <v>506.6</v>
      </c>
      <c r="F387" s="51">
        <f>533.4+537.1+550.8</f>
        <v>1621.3</v>
      </c>
      <c r="G387" s="7"/>
      <c r="H387" s="52">
        <f t="shared" si="111"/>
        <v>2127.9</v>
      </c>
      <c r="I387" s="51">
        <f>475.7+539.4+579</f>
        <v>1594.1</v>
      </c>
      <c r="J387" s="7"/>
      <c r="K387" s="52">
        <f t="shared" si="112"/>
        <v>3722</v>
      </c>
      <c r="L387" s="51">
        <f>625.8+440.3+507.4</f>
        <v>1573.5</v>
      </c>
      <c r="M387" s="7"/>
      <c r="N387" s="165">
        <f t="shared" si="113"/>
        <v>5295.5</v>
      </c>
    </row>
    <row r="388" spans="1:14" ht="12.75">
      <c r="A388" s="73" t="s">
        <v>277</v>
      </c>
      <c r="B388" s="51"/>
      <c r="C388" s="7"/>
      <c r="D388" s="7"/>
      <c r="E388" s="52">
        <f t="shared" si="110"/>
        <v>0</v>
      </c>
      <c r="F388" s="51">
        <v>1058</v>
      </c>
      <c r="G388" s="7"/>
      <c r="H388" s="52">
        <f t="shared" si="111"/>
        <v>1058</v>
      </c>
      <c r="I388" s="51"/>
      <c r="J388" s="7"/>
      <c r="K388" s="52">
        <f t="shared" si="112"/>
        <v>1058</v>
      </c>
      <c r="L388" s="51"/>
      <c r="M388" s="7"/>
      <c r="N388" s="165">
        <f t="shared" si="113"/>
        <v>1058</v>
      </c>
    </row>
    <row r="389" spans="1:14" ht="12.75">
      <c r="A389" s="82" t="s">
        <v>302</v>
      </c>
      <c r="B389" s="51"/>
      <c r="C389" s="7"/>
      <c r="D389" s="7"/>
      <c r="E389" s="52">
        <f t="shared" si="110"/>
        <v>0</v>
      </c>
      <c r="F389" s="51"/>
      <c r="G389" s="7"/>
      <c r="H389" s="52">
        <f t="shared" si="111"/>
        <v>0</v>
      </c>
      <c r="I389" s="51">
        <v>24</v>
      </c>
      <c r="J389" s="7"/>
      <c r="K389" s="52">
        <f t="shared" si="112"/>
        <v>24</v>
      </c>
      <c r="L389" s="51"/>
      <c r="M389" s="7"/>
      <c r="N389" s="165">
        <f t="shared" si="113"/>
        <v>24</v>
      </c>
    </row>
    <row r="390" spans="1:14" ht="12.75" hidden="1">
      <c r="A390" s="73" t="s">
        <v>92</v>
      </c>
      <c r="B390" s="51"/>
      <c r="C390" s="7"/>
      <c r="D390" s="7"/>
      <c r="E390" s="52">
        <f t="shared" si="110"/>
        <v>0</v>
      </c>
      <c r="F390" s="51"/>
      <c r="G390" s="7"/>
      <c r="H390" s="52">
        <f t="shared" si="111"/>
        <v>0</v>
      </c>
      <c r="I390" s="51"/>
      <c r="J390" s="7"/>
      <c r="K390" s="52">
        <f t="shared" si="112"/>
        <v>0</v>
      </c>
      <c r="L390" s="51"/>
      <c r="M390" s="7"/>
      <c r="N390" s="165">
        <f t="shared" si="113"/>
        <v>0</v>
      </c>
    </row>
    <row r="391" spans="1:14" ht="12.75">
      <c r="A391" s="73" t="s">
        <v>93</v>
      </c>
      <c r="B391" s="51"/>
      <c r="C391" s="7"/>
      <c r="D391" s="7"/>
      <c r="E391" s="52">
        <f t="shared" si="110"/>
        <v>0</v>
      </c>
      <c r="F391" s="51"/>
      <c r="G391" s="7">
        <v>26500</v>
      </c>
      <c r="H391" s="52">
        <f t="shared" si="111"/>
        <v>26500</v>
      </c>
      <c r="I391" s="51"/>
      <c r="J391" s="7"/>
      <c r="K391" s="52">
        <f t="shared" si="112"/>
        <v>26500</v>
      </c>
      <c r="L391" s="51"/>
      <c r="M391" s="7"/>
      <c r="N391" s="165">
        <f t="shared" si="113"/>
        <v>26500</v>
      </c>
    </row>
    <row r="392" spans="1:14" ht="12.75">
      <c r="A392" s="79" t="s">
        <v>75</v>
      </c>
      <c r="B392" s="59">
        <f aca="true" t="shared" si="114" ref="B392:N392">SUM(B394:B397)</f>
        <v>0</v>
      </c>
      <c r="C392" s="12">
        <f t="shared" si="114"/>
        <v>34.2</v>
      </c>
      <c r="D392" s="12">
        <f t="shared" si="114"/>
        <v>0</v>
      </c>
      <c r="E392" s="60">
        <f t="shared" si="114"/>
        <v>34.2</v>
      </c>
      <c r="F392" s="59">
        <f t="shared" si="114"/>
        <v>34.2</v>
      </c>
      <c r="G392" s="12">
        <f t="shared" si="114"/>
        <v>3000</v>
      </c>
      <c r="H392" s="60">
        <f t="shared" si="114"/>
        <v>3068.4</v>
      </c>
      <c r="I392" s="59">
        <f t="shared" si="114"/>
        <v>12974.8</v>
      </c>
      <c r="J392" s="12">
        <f t="shared" si="114"/>
        <v>0</v>
      </c>
      <c r="K392" s="60">
        <f t="shared" si="114"/>
        <v>16043.199999999999</v>
      </c>
      <c r="L392" s="59">
        <f t="shared" si="114"/>
        <v>100</v>
      </c>
      <c r="M392" s="12">
        <f t="shared" si="114"/>
        <v>0</v>
      </c>
      <c r="N392" s="150">
        <f t="shared" si="114"/>
        <v>16143.199999999999</v>
      </c>
    </row>
    <row r="393" spans="1:14" ht="12.75">
      <c r="A393" s="75" t="s">
        <v>38</v>
      </c>
      <c r="B393" s="51"/>
      <c r="C393" s="7"/>
      <c r="D393" s="7"/>
      <c r="E393" s="52"/>
      <c r="F393" s="51"/>
      <c r="G393" s="7"/>
      <c r="H393" s="52"/>
      <c r="I393" s="51"/>
      <c r="J393" s="7"/>
      <c r="K393" s="52"/>
      <c r="L393" s="51"/>
      <c r="M393" s="7"/>
      <c r="N393" s="165"/>
    </row>
    <row r="394" spans="1:14" ht="12.75" hidden="1">
      <c r="A394" s="73" t="s">
        <v>147</v>
      </c>
      <c r="B394" s="51"/>
      <c r="C394" s="7"/>
      <c r="D394" s="7"/>
      <c r="E394" s="52">
        <f>B394+C394+D394</f>
        <v>0</v>
      </c>
      <c r="F394" s="51"/>
      <c r="G394" s="7"/>
      <c r="H394" s="52">
        <f>E394+F394+G394</f>
        <v>0</v>
      </c>
      <c r="I394" s="51"/>
      <c r="J394" s="7"/>
      <c r="K394" s="52">
        <f>H394+I394+J394</f>
        <v>0</v>
      </c>
      <c r="L394" s="51"/>
      <c r="M394" s="7"/>
      <c r="N394" s="165">
        <f>K394+L394+M394</f>
        <v>0</v>
      </c>
    </row>
    <row r="395" spans="1:14" ht="12.75">
      <c r="A395" s="73" t="s">
        <v>76</v>
      </c>
      <c r="B395" s="51"/>
      <c r="C395" s="7"/>
      <c r="D395" s="7"/>
      <c r="E395" s="52"/>
      <c r="F395" s="51"/>
      <c r="G395" s="7"/>
      <c r="H395" s="52"/>
      <c r="I395" s="51"/>
      <c r="J395" s="7"/>
      <c r="K395" s="52">
        <f>H395+I395+J395</f>
        <v>0</v>
      </c>
      <c r="L395" s="51">
        <v>100</v>
      </c>
      <c r="M395" s="7"/>
      <c r="N395" s="165">
        <f>K395+L395+M395</f>
        <v>100</v>
      </c>
    </row>
    <row r="396" spans="1:14" ht="12.75">
      <c r="A396" s="73" t="s">
        <v>107</v>
      </c>
      <c r="B396" s="51"/>
      <c r="C396" s="7">
        <v>34.2</v>
      </c>
      <c r="D396" s="7"/>
      <c r="E396" s="52">
        <f>B396+C396+D396</f>
        <v>34.2</v>
      </c>
      <c r="F396" s="51">
        <v>34.2</v>
      </c>
      <c r="G396" s="7">
        <v>3000</v>
      </c>
      <c r="H396" s="52">
        <f>E396+F396+G396</f>
        <v>3068.4</v>
      </c>
      <c r="I396" s="51"/>
      <c r="J396" s="7"/>
      <c r="K396" s="52">
        <f>H396+I396+J396</f>
        <v>3068.4</v>
      </c>
      <c r="L396" s="51"/>
      <c r="M396" s="7"/>
      <c r="N396" s="165">
        <f>K396+L396+M396</f>
        <v>3068.4</v>
      </c>
    </row>
    <row r="397" spans="1:14" ht="12.75">
      <c r="A397" s="76" t="s">
        <v>310</v>
      </c>
      <c r="B397" s="55"/>
      <c r="C397" s="10"/>
      <c r="D397" s="10"/>
      <c r="E397" s="56">
        <f>B397+C397+D397</f>
        <v>0</v>
      </c>
      <c r="F397" s="55"/>
      <c r="G397" s="10"/>
      <c r="H397" s="56">
        <f>E397+F397+G397</f>
        <v>0</v>
      </c>
      <c r="I397" s="55">
        <v>12974.8</v>
      </c>
      <c r="J397" s="10"/>
      <c r="K397" s="56">
        <f>H397+I397+J397</f>
        <v>12974.8</v>
      </c>
      <c r="L397" s="55"/>
      <c r="M397" s="10"/>
      <c r="N397" s="164">
        <f>K397+L397+M397</f>
        <v>12974.8</v>
      </c>
    </row>
    <row r="398" spans="1:14" ht="12.75">
      <c r="A398" s="74" t="s">
        <v>161</v>
      </c>
      <c r="B398" s="49">
        <f aca="true" t="shared" si="115" ref="B398:N398">B399+B412</f>
        <v>14792.8</v>
      </c>
      <c r="C398" s="6">
        <f t="shared" si="115"/>
        <v>7977.8</v>
      </c>
      <c r="D398" s="6">
        <f t="shared" si="115"/>
        <v>35500</v>
      </c>
      <c r="E398" s="50">
        <f t="shared" si="115"/>
        <v>58270.6</v>
      </c>
      <c r="F398" s="49">
        <f t="shared" si="115"/>
        <v>52585.2</v>
      </c>
      <c r="G398" s="6">
        <f t="shared" si="115"/>
        <v>2717.3</v>
      </c>
      <c r="H398" s="50">
        <f t="shared" si="115"/>
        <v>113573.09999999999</v>
      </c>
      <c r="I398" s="49">
        <f t="shared" si="115"/>
        <v>6421.3</v>
      </c>
      <c r="J398" s="6">
        <f t="shared" si="115"/>
        <v>0</v>
      </c>
      <c r="K398" s="50">
        <f t="shared" si="115"/>
        <v>119994.4</v>
      </c>
      <c r="L398" s="49">
        <f t="shared" si="115"/>
        <v>1570</v>
      </c>
      <c r="M398" s="6">
        <f t="shared" si="115"/>
        <v>0</v>
      </c>
      <c r="N398" s="149">
        <f t="shared" si="115"/>
        <v>121564.4</v>
      </c>
    </row>
    <row r="399" spans="1:14" ht="12.75">
      <c r="A399" s="79" t="s">
        <v>69</v>
      </c>
      <c r="B399" s="59">
        <f>SUM(B401:B411)-B410</f>
        <v>14624</v>
      </c>
      <c r="C399" s="12">
        <f aca="true" t="shared" si="116" ref="C399:N399">SUM(C401:C411)-C410</f>
        <v>5944.6</v>
      </c>
      <c r="D399" s="12">
        <f t="shared" si="116"/>
        <v>23500</v>
      </c>
      <c r="E399" s="60">
        <f t="shared" si="116"/>
        <v>44068.6</v>
      </c>
      <c r="F399" s="59">
        <f t="shared" si="116"/>
        <v>4397.5</v>
      </c>
      <c r="G399" s="12">
        <f t="shared" si="116"/>
        <v>0</v>
      </c>
      <c r="H399" s="60">
        <f t="shared" si="116"/>
        <v>48466.1</v>
      </c>
      <c r="I399" s="59">
        <f t="shared" si="116"/>
        <v>2117.3</v>
      </c>
      <c r="J399" s="12">
        <f t="shared" si="116"/>
        <v>500.20000000000005</v>
      </c>
      <c r="K399" s="60">
        <f t="shared" si="116"/>
        <v>51083.6</v>
      </c>
      <c r="L399" s="59">
        <f t="shared" si="116"/>
        <v>1778.8</v>
      </c>
      <c r="M399" s="12">
        <f t="shared" si="116"/>
        <v>0</v>
      </c>
      <c r="N399" s="150">
        <f t="shared" si="116"/>
        <v>52862.399999999994</v>
      </c>
    </row>
    <row r="400" spans="1:14" ht="12.75">
      <c r="A400" s="75" t="s">
        <v>38</v>
      </c>
      <c r="B400" s="51"/>
      <c r="C400" s="7"/>
      <c r="D400" s="7"/>
      <c r="E400" s="50"/>
      <c r="F400" s="51"/>
      <c r="G400" s="7"/>
      <c r="H400" s="50"/>
      <c r="I400" s="51"/>
      <c r="J400" s="7"/>
      <c r="K400" s="50"/>
      <c r="L400" s="51"/>
      <c r="M400" s="7"/>
      <c r="N400" s="149"/>
    </row>
    <row r="401" spans="1:14" ht="12.75">
      <c r="A401" s="73" t="s">
        <v>72</v>
      </c>
      <c r="B401" s="51">
        <v>14624</v>
      </c>
      <c r="C401" s="7"/>
      <c r="D401" s="7">
        <v>500</v>
      </c>
      <c r="E401" s="52">
        <f>B401+C401+D401</f>
        <v>15124</v>
      </c>
      <c r="F401" s="51">
        <f>1198.5+400-4890.9+200-10.1</f>
        <v>-3102.4999999999995</v>
      </c>
      <c r="G401" s="7"/>
      <c r="H401" s="52">
        <f>E401+F401+G401</f>
        <v>12021.5</v>
      </c>
      <c r="I401" s="51">
        <f>-132+54+130-100-500+1000</f>
        <v>452</v>
      </c>
      <c r="J401" s="7">
        <f>-109.1-298.8</f>
        <v>-407.9</v>
      </c>
      <c r="K401" s="52">
        <f>H401+I401+J401</f>
        <v>12065.6</v>
      </c>
      <c r="L401" s="51">
        <v>1570</v>
      </c>
      <c r="M401" s="7"/>
      <c r="N401" s="165">
        <f>K401+L401+M401</f>
        <v>13635.6</v>
      </c>
    </row>
    <row r="402" spans="1:14" ht="12.75" hidden="1">
      <c r="A402" s="73" t="s">
        <v>162</v>
      </c>
      <c r="B402" s="51"/>
      <c r="C402" s="7"/>
      <c r="D402" s="7"/>
      <c r="E402" s="52">
        <f aca="true" t="shared" si="117" ref="E402:E411">B402+C402+D402</f>
        <v>0</v>
      </c>
      <c r="F402" s="51"/>
      <c r="G402" s="7"/>
      <c r="H402" s="52">
        <f aca="true" t="shared" si="118" ref="H402:H411">E402+F402+G402</f>
        <v>0</v>
      </c>
      <c r="I402" s="51"/>
      <c r="J402" s="7"/>
      <c r="K402" s="52">
        <f aca="true" t="shared" si="119" ref="K402:K411">H402+I402+J402</f>
        <v>0</v>
      </c>
      <c r="L402" s="51"/>
      <c r="M402" s="7"/>
      <c r="N402" s="165">
        <f aca="true" t="shared" si="120" ref="N402:N411">K402+L402+M402</f>
        <v>0</v>
      </c>
    </row>
    <row r="403" spans="1:14" ht="12.75" hidden="1">
      <c r="A403" s="73" t="s">
        <v>163</v>
      </c>
      <c r="B403" s="51"/>
      <c r="C403" s="7"/>
      <c r="D403" s="7"/>
      <c r="E403" s="52">
        <f t="shared" si="117"/>
        <v>0</v>
      </c>
      <c r="F403" s="51"/>
      <c r="G403" s="7"/>
      <c r="H403" s="52">
        <f t="shared" si="118"/>
        <v>0</v>
      </c>
      <c r="I403" s="51"/>
      <c r="J403" s="7"/>
      <c r="K403" s="52">
        <f t="shared" si="119"/>
        <v>0</v>
      </c>
      <c r="L403" s="51"/>
      <c r="M403" s="7"/>
      <c r="N403" s="165">
        <f t="shared" si="120"/>
        <v>0</v>
      </c>
    </row>
    <row r="404" spans="1:14" ht="12.75">
      <c r="A404" s="73" t="s">
        <v>107</v>
      </c>
      <c r="B404" s="51"/>
      <c r="C404" s="7">
        <f>357.4+350.2</f>
        <v>707.5999999999999</v>
      </c>
      <c r="D404" s="7"/>
      <c r="E404" s="52">
        <f t="shared" si="117"/>
        <v>707.5999999999999</v>
      </c>
      <c r="F404" s="51"/>
      <c r="G404" s="7"/>
      <c r="H404" s="52">
        <f t="shared" si="118"/>
        <v>707.5999999999999</v>
      </c>
      <c r="I404" s="51"/>
      <c r="J404" s="7"/>
      <c r="K404" s="52">
        <f t="shared" si="119"/>
        <v>707.5999999999999</v>
      </c>
      <c r="L404" s="51"/>
      <c r="M404" s="7"/>
      <c r="N404" s="165">
        <f t="shared" si="120"/>
        <v>707.5999999999999</v>
      </c>
    </row>
    <row r="405" spans="1:14" ht="12.75">
      <c r="A405" s="73" t="s">
        <v>313</v>
      </c>
      <c r="B405" s="51"/>
      <c r="C405" s="7"/>
      <c r="D405" s="7"/>
      <c r="E405" s="52">
        <f t="shared" si="117"/>
        <v>0</v>
      </c>
      <c r="F405" s="51"/>
      <c r="G405" s="7"/>
      <c r="H405" s="52">
        <f t="shared" si="118"/>
        <v>0</v>
      </c>
      <c r="I405" s="51">
        <f>1633.3+32</f>
        <v>1665.3</v>
      </c>
      <c r="J405" s="7"/>
      <c r="K405" s="52">
        <f t="shared" si="119"/>
        <v>1665.3</v>
      </c>
      <c r="L405" s="51"/>
      <c r="M405" s="7"/>
      <c r="N405" s="165">
        <f t="shared" si="120"/>
        <v>1665.3</v>
      </c>
    </row>
    <row r="406" spans="1:14" ht="12.75">
      <c r="A406" s="73" t="s">
        <v>123</v>
      </c>
      <c r="B406" s="51"/>
      <c r="C406" s="7"/>
      <c r="D406" s="7">
        <v>23000</v>
      </c>
      <c r="E406" s="52">
        <f t="shared" si="117"/>
        <v>23000</v>
      </c>
      <c r="F406" s="51">
        <v>7500</v>
      </c>
      <c r="G406" s="7"/>
      <c r="H406" s="52">
        <f t="shared" si="118"/>
        <v>30500</v>
      </c>
      <c r="I406" s="51"/>
      <c r="J406" s="7">
        <v>658.1</v>
      </c>
      <c r="K406" s="52">
        <f t="shared" si="119"/>
        <v>31158.1</v>
      </c>
      <c r="L406" s="51">
        <v>208.8</v>
      </c>
      <c r="M406" s="7"/>
      <c r="N406" s="165">
        <f t="shared" si="120"/>
        <v>31366.899999999998</v>
      </c>
    </row>
    <row r="407" spans="1:14" ht="12.75">
      <c r="A407" s="73" t="s">
        <v>89</v>
      </c>
      <c r="B407" s="51"/>
      <c r="C407" s="7"/>
      <c r="D407" s="7"/>
      <c r="E407" s="52">
        <f t="shared" si="117"/>
        <v>0</v>
      </c>
      <c r="F407" s="51"/>
      <c r="G407" s="7"/>
      <c r="H407" s="52">
        <f t="shared" si="118"/>
        <v>0</v>
      </c>
      <c r="I407" s="68"/>
      <c r="J407" s="7">
        <v>250</v>
      </c>
      <c r="K407" s="52">
        <f t="shared" si="119"/>
        <v>250</v>
      </c>
      <c r="L407" s="51"/>
      <c r="M407" s="7"/>
      <c r="N407" s="165">
        <f t="shared" si="120"/>
        <v>250</v>
      </c>
    </row>
    <row r="408" spans="1:14" ht="12.75" hidden="1">
      <c r="A408" s="73" t="s">
        <v>90</v>
      </c>
      <c r="B408" s="51"/>
      <c r="C408" s="7"/>
      <c r="D408" s="7"/>
      <c r="E408" s="52">
        <f t="shared" si="117"/>
        <v>0</v>
      </c>
      <c r="F408" s="51"/>
      <c r="G408" s="7"/>
      <c r="H408" s="52">
        <f t="shared" si="118"/>
        <v>0</v>
      </c>
      <c r="I408" s="68"/>
      <c r="J408" s="7"/>
      <c r="K408" s="52">
        <f t="shared" si="119"/>
        <v>0</v>
      </c>
      <c r="L408" s="51"/>
      <c r="M408" s="7"/>
      <c r="N408" s="165">
        <f t="shared" si="120"/>
        <v>0</v>
      </c>
    </row>
    <row r="409" spans="1:14" ht="12.75">
      <c r="A409" s="73" t="s">
        <v>164</v>
      </c>
      <c r="B409" s="51"/>
      <c r="C409" s="7">
        <v>5237</v>
      </c>
      <c r="D409" s="7"/>
      <c r="E409" s="52">
        <f t="shared" si="117"/>
        <v>5237</v>
      </c>
      <c r="F409" s="51"/>
      <c r="G409" s="7"/>
      <c r="H409" s="52">
        <f t="shared" si="118"/>
        <v>5237</v>
      </c>
      <c r="I409" s="51"/>
      <c r="J409" s="7"/>
      <c r="K409" s="52">
        <f t="shared" si="119"/>
        <v>5237</v>
      </c>
      <c r="L409" s="51"/>
      <c r="M409" s="7"/>
      <c r="N409" s="165">
        <f t="shared" si="120"/>
        <v>5237</v>
      </c>
    </row>
    <row r="410" spans="1:14" ht="12.75" hidden="1">
      <c r="A410" s="73" t="s">
        <v>165</v>
      </c>
      <c r="B410" s="51"/>
      <c r="C410" s="7"/>
      <c r="D410" s="7"/>
      <c r="E410" s="52">
        <f t="shared" si="117"/>
        <v>0</v>
      </c>
      <c r="F410" s="51"/>
      <c r="G410" s="7"/>
      <c r="H410" s="52">
        <f t="shared" si="118"/>
        <v>0</v>
      </c>
      <c r="I410" s="51"/>
      <c r="J410" s="7"/>
      <c r="K410" s="52">
        <f t="shared" si="119"/>
        <v>0</v>
      </c>
      <c r="L410" s="51"/>
      <c r="M410" s="7"/>
      <c r="N410" s="165">
        <f t="shared" si="120"/>
        <v>0</v>
      </c>
    </row>
    <row r="411" spans="1:14" ht="12.75" hidden="1">
      <c r="A411" s="73" t="s">
        <v>93</v>
      </c>
      <c r="B411" s="51"/>
      <c r="C411" s="7"/>
      <c r="D411" s="7"/>
      <c r="E411" s="52">
        <f t="shared" si="117"/>
        <v>0</v>
      </c>
      <c r="F411" s="51"/>
      <c r="G411" s="7"/>
      <c r="H411" s="52">
        <f t="shared" si="118"/>
        <v>0</v>
      </c>
      <c r="I411" s="51"/>
      <c r="J411" s="7"/>
      <c r="K411" s="52">
        <f t="shared" si="119"/>
        <v>0</v>
      </c>
      <c r="L411" s="51"/>
      <c r="M411" s="7"/>
      <c r="N411" s="165">
        <f t="shared" si="120"/>
        <v>0</v>
      </c>
    </row>
    <row r="412" spans="1:14" ht="12.75">
      <c r="A412" s="79" t="s">
        <v>75</v>
      </c>
      <c r="B412" s="59">
        <f aca="true" t="shared" si="121" ref="B412:N412">SUM(B414:B421)</f>
        <v>168.8</v>
      </c>
      <c r="C412" s="12">
        <f t="shared" si="121"/>
        <v>2033.2</v>
      </c>
      <c r="D412" s="12">
        <f t="shared" si="121"/>
        <v>12000</v>
      </c>
      <c r="E412" s="60">
        <f t="shared" si="121"/>
        <v>14202</v>
      </c>
      <c r="F412" s="59">
        <f t="shared" si="121"/>
        <v>48187.7</v>
      </c>
      <c r="G412" s="12">
        <f t="shared" si="121"/>
        <v>2717.3</v>
      </c>
      <c r="H412" s="60">
        <f t="shared" si="121"/>
        <v>65106.99999999999</v>
      </c>
      <c r="I412" s="59">
        <f t="shared" si="121"/>
        <v>4304</v>
      </c>
      <c r="J412" s="12">
        <f t="shared" si="121"/>
        <v>-500.2</v>
      </c>
      <c r="K412" s="60">
        <f t="shared" si="121"/>
        <v>68910.79999999999</v>
      </c>
      <c r="L412" s="59">
        <f t="shared" si="121"/>
        <v>-208.8</v>
      </c>
      <c r="M412" s="12">
        <f t="shared" si="121"/>
        <v>0</v>
      </c>
      <c r="N412" s="150">
        <f t="shared" si="121"/>
        <v>68702</v>
      </c>
    </row>
    <row r="413" spans="1:14" ht="12.75">
      <c r="A413" s="75" t="s">
        <v>38</v>
      </c>
      <c r="B413" s="51"/>
      <c r="C413" s="7"/>
      <c r="D413" s="7"/>
      <c r="E413" s="52"/>
      <c r="F413" s="51"/>
      <c r="G413" s="7"/>
      <c r="H413" s="52"/>
      <c r="I413" s="51"/>
      <c r="J413" s="7"/>
      <c r="K413" s="52"/>
      <c r="L413" s="51"/>
      <c r="M413" s="7"/>
      <c r="N413" s="165"/>
    </row>
    <row r="414" spans="1:14" ht="12.75">
      <c r="A414" s="77" t="s">
        <v>96</v>
      </c>
      <c r="B414" s="51"/>
      <c r="C414" s="7">
        <v>2000</v>
      </c>
      <c r="D414" s="7"/>
      <c r="E414" s="52">
        <f aca="true" t="shared" si="122" ref="E414:E421">B414+C414+D414</f>
        <v>2000</v>
      </c>
      <c r="F414" s="51">
        <v>4890.9</v>
      </c>
      <c r="G414" s="7"/>
      <c r="H414" s="52">
        <f aca="true" t="shared" si="123" ref="H414:H421">E414+F414+G414</f>
        <v>6890.9</v>
      </c>
      <c r="I414" s="51">
        <v>1500</v>
      </c>
      <c r="J414" s="7">
        <f>-250+109.1</f>
        <v>-140.9</v>
      </c>
      <c r="K414" s="52">
        <f aca="true" t="shared" si="124" ref="K414:K421">H414+I414+J414</f>
        <v>8250</v>
      </c>
      <c r="L414" s="51"/>
      <c r="M414" s="7"/>
      <c r="N414" s="165">
        <f aca="true" t="shared" si="125" ref="N414:N421">K414+L414+M414</f>
        <v>8250</v>
      </c>
    </row>
    <row r="415" spans="1:14" ht="12.75">
      <c r="A415" s="73" t="s">
        <v>123</v>
      </c>
      <c r="B415" s="51"/>
      <c r="C415" s="7"/>
      <c r="D415" s="7">
        <v>12000</v>
      </c>
      <c r="E415" s="52">
        <f t="shared" si="122"/>
        <v>12000</v>
      </c>
      <c r="F415" s="51">
        <v>7500</v>
      </c>
      <c r="G415" s="7"/>
      <c r="H415" s="52">
        <f t="shared" si="123"/>
        <v>19500</v>
      </c>
      <c r="I415" s="51"/>
      <c r="J415" s="7">
        <v>-658.1</v>
      </c>
      <c r="K415" s="52">
        <f t="shared" si="124"/>
        <v>18841.9</v>
      </c>
      <c r="L415" s="51">
        <v>-208.8</v>
      </c>
      <c r="M415" s="7"/>
      <c r="N415" s="165">
        <f t="shared" si="125"/>
        <v>18633.100000000002</v>
      </c>
    </row>
    <row r="416" spans="1:14" ht="12.75" hidden="1">
      <c r="A416" s="73" t="s">
        <v>76</v>
      </c>
      <c r="B416" s="51"/>
      <c r="C416" s="7"/>
      <c r="D416" s="7"/>
      <c r="E416" s="52">
        <f t="shared" si="122"/>
        <v>0</v>
      </c>
      <c r="F416" s="51"/>
      <c r="G416" s="7"/>
      <c r="H416" s="52">
        <f t="shared" si="123"/>
        <v>0</v>
      </c>
      <c r="I416" s="51"/>
      <c r="J416" s="7"/>
      <c r="K416" s="52">
        <f t="shared" si="124"/>
        <v>0</v>
      </c>
      <c r="L416" s="51"/>
      <c r="M416" s="7"/>
      <c r="N416" s="165">
        <f t="shared" si="125"/>
        <v>0</v>
      </c>
    </row>
    <row r="417" spans="1:14" ht="12.75">
      <c r="A417" s="73" t="s">
        <v>107</v>
      </c>
      <c r="B417" s="51">
        <v>168.8</v>
      </c>
      <c r="C417" s="7">
        <v>33.2</v>
      </c>
      <c r="D417" s="7"/>
      <c r="E417" s="52">
        <f t="shared" si="122"/>
        <v>202</v>
      </c>
      <c r="F417" s="51"/>
      <c r="G417" s="7">
        <v>2717.3</v>
      </c>
      <c r="H417" s="52">
        <f t="shared" si="123"/>
        <v>2919.3</v>
      </c>
      <c r="I417" s="51"/>
      <c r="J417" s="7"/>
      <c r="K417" s="52">
        <f t="shared" si="124"/>
        <v>2919.3</v>
      </c>
      <c r="L417" s="51"/>
      <c r="M417" s="7"/>
      <c r="N417" s="165">
        <f t="shared" si="125"/>
        <v>2919.3</v>
      </c>
    </row>
    <row r="418" spans="1:14" ht="12.75">
      <c r="A418" s="73" t="s">
        <v>313</v>
      </c>
      <c r="B418" s="51"/>
      <c r="C418" s="7"/>
      <c r="D418" s="7"/>
      <c r="E418" s="52"/>
      <c r="F418" s="51"/>
      <c r="G418" s="7"/>
      <c r="H418" s="52">
        <f t="shared" si="123"/>
        <v>0</v>
      </c>
      <c r="I418" s="51">
        <v>26.4</v>
      </c>
      <c r="J418" s="7"/>
      <c r="K418" s="52">
        <f t="shared" si="124"/>
        <v>26.4</v>
      </c>
      <c r="L418" s="51"/>
      <c r="M418" s="7"/>
      <c r="N418" s="165">
        <f t="shared" si="125"/>
        <v>26.4</v>
      </c>
    </row>
    <row r="419" spans="1:14" ht="12.75">
      <c r="A419" s="73" t="s">
        <v>281</v>
      </c>
      <c r="B419" s="51"/>
      <c r="C419" s="7"/>
      <c r="D419" s="7"/>
      <c r="E419" s="52">
        <f t="shared" si="122"/>
        <v>0</v>
      </c>
      <c r="F419" s="51">
        <f>25397.3+10389.4</f>
        <v>35786.7</v>
      </c>
      <c r="G419" s="7"/>
      <c r="H419" s="52">
        <f t="shared" si="123"/>
        <v>35786.7</v>
      </c>
      <c r="I419" s="51">
        <v>2777.6</v>
      </c>
      <c r="J419" s="7"/>
      <c r="K419" s="52">
        <f t="shared" si="124"/>
        <v>38564.299999999996</v>
      </c>
      <c r="L419" s="51"/>
      <c r="M419" s="7"/>
      <c r="N419" s="165">
        <f t="shared" si="125"/>
        <v>38564.299999999996</v>
      </c>
    </row>
    <row r="420" spans="1:14" ht="12.75" hidden="1">
      <c r="A420" s="73" t="s">
        <v>93</v>
      </c>
      <c r="B420" s="51"/>
      <c r="C420" s="7"/>
      <c r="D420" s="7"/>
      <c r="E420" s="52">
        <f t="shared" si="122"/>
        <v>0</v>
      </c>
      <c r="F420" s="51"/>
      <c r="G420" s="7"/>
      <c r="H420" s="52">
        <f t="shared" si="123"/>
        <v>0</v>
      </c>
      <c r="I420" s="51"/>
      <c r="J420" s="7"/>
      <c r="K420" s="52">
        <f t="shared" si="124"/>
        <v>0</v>
      </c>
      <c r="L420" s="51"/>
      <c r="M420" s="7"/>
      <c r="N420" s="165">
        <f t="shared" si="125"/>
        <v>0</v>
      </c>
    </row>
    <row r="421" spans="1:14" ht="12.75">
      <c r="A421" s="83" t="s">
        <v>213</v>
      </c>
      <c r="B421" s="55"/>
      <c r="C421" s="10"/>
      <c r="D421" s="10"/>
      <c r="E421" s="56">
        <f t="shared" si="122"/>
        <v>0</v>
      </c>
      <c r="F421" s="55">
        <v>10.1</v>
      </c>
      <c r="G421" s="10"/>
      <c r="H421" s="56">
        <f t="shared" si="123"/>
        <v>10.1</v>
      </c>
      <c r="I421" s="55"/>
      <c r="J421" s="10">
        <v>298.8</v>
      </c>
      <c r="K421" s="56">
        <f t="shared" si="124"/>
        <v>308.90000000000003</v>
      </c>
      <c r="L421" s="55"/>
      <c r="M421" s="10"/>
      <c r="N421" s="164">
        <f t="shared" si="125"/>
        <v>308.90000000000003</v>
      </c>
    </row>
    <row r="422" spans="1:14" ht="12.75">
      <c r="A422" s="70" t="s">
        <v>166</v>
      </c>
      <c r="B422" s="49">
        <f aca="true" t="shared" si="126" ref="B422:N422">B423+B426</f>
        <v>5263.4</v>
      </c>
      <c r="C422" s="6">
        <f t="shared" si="126"/>
        <v>0</v>
      </c>
      <c r="D422" s="6">
        <f t="shared" si="126"/>
        <v>0</v>
      </c>
      <c r="E422" s="50">
        <f t="shared" si="126"/>
        <v>5263.4</v>
      </c>
      <c r="F422" s="49">
        <f t="shared" si="126"/>
        <v>0</v>
      </c>
      <c r="G422" s="6">
        <f t="shared" si="126"/>
        <v>0</v>
      </c>
      <c r="H422" s="50">
        <f t="shared" si="126"/>
        <v>5263.4</v>
      </c>
      <c r="I422" s="49">
        <f t="shared" si="126"/>
        <v>-130</v>
      </c>
      <c r="J422" s="6">
        <f t="shared" si="126"/>
        <v>0</v>
      </c>
      <c r="K422" s="50">
        <f t="shared" si="126"/>
        <v>5133.4</v>
      </c>
      <c r="L422" s="49">
        <f t="shared" si="126"/>
        <v>-1570</v>
      </c>
      <c r="M422" s="6">
        <f t="shared" si="126"/>
        <v>0</v>
      </c>
      <c r="N422" s="149">
        <f t="shared" si="126"/>
        <v>3563.3999999999996</v>
      </c>
    </row>
    <row r="423" spans="1:14" ht="12.75">
      <c r="A423" s="79" t="s">
        <v>69</v>
      </c>
      <c r="B423" s="59">
        <f>SUM(B425:B425)</f>
        <v>3883.4</v>
      </c>
      <c r="C423" s="12">
        <f aca="true" t="shared" si="127" ref="C423:N423">SUM(C425:C425)</f>
        <v>1380</v>
      </c>
      <c r="D423" s="12">
        <f t="shared" si="127"/>
        <v>0</v>
      </c>
      <c r="E423" s="60">
        <f t="shared" si="127"/>
        <v>5263.4</v>
      </c>
      <c r="F423" s="59">
        <f t="shared" si="127"/>
        <v>0</v>
      </c>
      <c r="G423" s="12">
        <f t="shared" si="127"/>
        <v>0</v>
      </c>
      <c r="H423" s="60">
        <f t="shared" si="127"/>
        <v>5263.4</v>
      </c>
      <c r="I423" s="59">
        <f t="shared" si="127"/>
        <v>-130</v>
      </c>
      <c r="J423" s="12">
        <f t="shared" si="127"/>
        <v>0</v>
      </c>
      <c r="K423" s="60">
        <f t="shared" si="127"/>
        <v>5133.4</v>
      </c>
      <c r="L423" s="59">
        <f t="shared" si="127"/>
        <v>-1570</v>
      </c>
      <c r="M423" s="12">
        <f t="shared" si="127"/>
        <v>0</v>
      </c>
      <c r="N423" s="150">
        <f t="shared" si="127"/>
        <v>3563.3999999999996</v>
      </c>
    </row>
    <row r="424" spans="1:14" ht="12.75">
      <c r="A424" s="75" t="s">
        <v>38</v>
      </c>
      <c r="B424" s="51"/>
      <c r="C424" s="7"/>
      <c r="D424" s="7"/>
      <c r="E424" s="50"/>
      <c r="F424" s="51"/>
      <c r="G424" s="7"/>
      <c r="H424" s="50"/>
      <c r="I424" s="51"/>
      <c r="J424" s="7"/>
      <c r="K424" s="50"/>
      <c r="L424" s="51"/>
      <c r="M424" s="7"/>
      <c r="N424" s="149"/>
    </row>
    <row r="425" spans="1:14" ht="12.75">
      <c r="A425" s="73" t="s">
        <v>72</v>
      </c>
      <c r="B425" s="69">
        <v>3883.4</v>
      </c>
      <c r="C425" s="7">
        <v>1380</v>
      </c>
      <c r="D425" s="7"/>
      <c r="E425" s="52">
        <f>B425+C425+D425</f>
        <v>5263.4</v>
      </c>
      <c r="F425" s="51"/>
      <c r="G425" s="7"/>
      <c r="H425" s="52">
        <f>E425+F425+G425</f>
        <v>5263.4</v>
      </c>
      <c r="I425" s="51">
        <v>-130</v>
      </c>
      <c r="J425" s="7"/>
      <c r="K425" s="52">
        <f>H425+I425+J425</f>
        <v>5133.4</v>
      </c>
      <c r="L425" s="51">
        <v>-1570</v>
      </c>
      <c r="M425" s="7"/>
      <c r="N425" s="165">
        <f>K425+L425+M425</f>
        <v>3563.3999999999996</v>
      </c>
    </row>
    <row r="426" spans="1:14" ht="12.75">
      <c r="A426" s="79" t="s">
        <v>75</v>
      </c>
      <c r="B426" s="59">
        <f aca="true" t="shared" si="128" ref="B426:N426">SUM(B428:B428)</f>
        <v>1380</v>
      </c>
      <c r="C426" s="12">
        <f t="shared" si="128"/>
        <v>-1380</v>
      </c>
      <c r="D426" s="12">
        <f t="shared" si="128"/>
        <v>0</v>
      </c>
      <c r="E426" s="60">
        <f t="shared" si="128"/>
        <v>0</v>
      </c>
      <c r="F426" s="59">
        <f t="shared" si="128"/>
        <v>0</v>
      </c>
      <c r="G426" s="12">
        <f t="shared" si="128"/>
        <v>0</v>
      </c>
      <c r="H426" s="60">
        <f t="shared" si="128"/>
        <v>0</v>
      </c>
      <c r="I426" s="59">
        <f t="shared" si="128"/>
        <v>0</v>
      </c>
      <c r="J426" s="12">
        <f t="shared" si="128"/>
        <v>0</v>
      </c>
      <c r="K426" s="60">
        <f t="shared" si="128"/>
        <v>0</v>
      </c>
      <c r="L426" s="59">
        <f t="shared" si="128"/>
        <v>0</v>
      </c>
      <c r="M426" s="12">
        <f t="shared" si="128"/>
        <v>0</v>
      </c>
      <c r="N426" s="150">
        <f t="shared" si="128"/>
        <v>0</v>
      </c>
    </row>
    <row r="427" spans="1:14" ht="12.75">
      <c r="A427" s="75" t="s">
        <v>38</v>
      </c>
      <c r="B427" s="51"/>
      <c r="C427" s="7"/>
      <c r="D427" s="7"/>
      <c r="E427" s="52"/>
      <c r="F427" s="51"/>
      <c r="G427" s="7"/>
      <c r="H427" s="52"/>
      <c r="I427" s="51"/>
      <c r="J427" s="7"/>
      <c r="K427" s="52"/>
      <c r="L427" s="51"/>
      <c r="M427" s="7"/>
      <c r="N427" s="165"/>
    </row>
    <row r="428" spans="1:14" ht="13.5" thickBot="1">
      <c r="A428" s="158" t="s">
        <v>76</v>
      </c>
      <c r="B428" s="159">
        <v>1380</v>
      </c>
      <c r="C428" s="160">
        <v>-1380</v>
      </c>
      <c r="D428" s="160"/>
      <c r="E428" s="161">
        <f>B428+C428+D428</f>
        <v>0</v>
      </c>
      <c r="F428" s="159"/>
      <c r="G428" s="160"/>
      <c r="H428" s="161">
        <f>E428+F428+G428</f>
        <v>0</v>
      </c>
      <c r="I428" s="159"/>
      <c r="J428" s="160"/>
      <c r="K428" s="177">
        <f>H428+I428+J428</f>
        <v>0</v>
      </c>
      <c r="L428" s="159"/>
      <c r="M428" s="160"/>
      <c r="N428" s="177">
        <f>K428+L428+M428</f>
        <v>0</v>
      </c>
    </row>
    <row r="429" spans="1:14" ht="12.75">
      <c r="A429" s="70" t="s">
        <v>167</v>
      </c>
      <c r="B429" s="49">
        <f aca="true" t="shared" si="129" ref="B429:N429">B430</f>
        <v>125548</v>
      </c>
      <c r="C429" s="6">
        <f t="shared" si="129"/>
        <v>35513.2</v>
      </c>
      <c r="D429" s="6">
        <f t="shared" si="129"/>
        <v>-6280</v>
      </c>
      <c r="E429" s="50">
        <f t="shared" si="129"/>
        <v>154781.2</v>
      </c>
      <c r="F429" s="49">
        <f t="shared" si="129"/>
        <v>-33873.4</v>
      </c>
      <c r="G429" s="6">
        <f t="shared" si="129"/>
        <v>94709.59999999999</v>
      </c>
      <c r="H429" s="50">
        <f t="shared" si="129"/>
        <v>215617.40000000002</v>
      </c>
      <c r="I429" s="49">
        <f t="shared" si="129"/>
        <v>-32919</v>
      </c>
      <c r="J429" s="6">
        <f t="shared" si="129"/>
        <v>-3362</v>
      </c>
      <c r="K429" s="149">
        <f t="shared" si="129"/>
        <v>179336.40000000002</v>
      </c>
      <c r="L429" s="49">
        <f t="shared" si="129"/>
        <v>-29185</v>
      </c>
      <c r="M429" s="6">
        <f t="shared" si="129"/>
        <v>0</v>
      </c>
      <c r="N429" s="149">
        <f t="shared" si="129"/>
        <v>150151.40000000002</v>
      </c>
    </row>
    <row r="430" spans="1:14" ht="12.75">
      <c r="A430" s="79" t="s">
        <v>69</v>
      </c>
      <c r="B430" s="59">
        <f>SUM(B432:B435)</f>
        <v>125548</v>
      </c>
      <c r="C430" s="12">
        <f aca="true" t="shared" si="130" ref="C430:N430">SUM(C432:C435)</f>
        <v>35513.2</v>
      </c>
      <c r="D430" s="12">
        <f t="shared" si="130"/>
        <v>-6280</v>
      </c>
      <c r="E430" s="60">
        <f t="shared" si="130"/>
        <v>154781.2</v>
      </c>
      <c r="F430" s="59">
        <f t="shared" si="130"/>
        <v>-33873.4</v>
      </c>
      <c r="G430" s="12">
        <f t="shared" si="130"/>
        <v>94709.59999999999</v>
      </c>
      <c r="H430" s="60">
        <f t="shared" si="130"/>
        <v>215617.40000000002</v>
      </c>
      <c r="I430" s="59">
        <f t="shared" si="130"/>
        <v>-32919</v>
      </c>
      <c r="J430" s="12">
        <f t="shared" si="130"/>
        <v>-3362</v>
      </c>
      <c r="K430" s="150">
        <f t="shared" si="130"/>
        <v>179336.40000000002</v>
      </c>
      <c r="L430" s="59">
        <f t="shared" si="130"/>
        <v>-29185</v>
      </c>
      <c r="M430" s="12">
        <f t="shared" si="130"/>
        <v>0</v>
      </c>
      <c r="N430" s="150">
        <f t="shared" si="130"/>
        <v>150151.40000000002</v>
      </c>
    </row>
    <row r="431" spans="1:14" ht="12.75">
      <c r="A431" s="75" t="s">
        <v>38</v>
      </c>
      <c r="B431" s="49"/>
      <c r="C431" s="6"/>
      <c r="D431" s="6"/>
      <c r="E431" s="50"/>
      <c r="F431" s="49"/>
      <c r="G431" s="6"/>
      <c r="H431" s="50"/>
      <c r="I431" s="49"/>
      <c r="J431" s="6"/>
      <c r="K431" s="149"/>
      <c r="L431" s="49"/>
      <c r="M431" s="6"/>
      <c r="N431" s="149"/>
    </row>
    <row r="432" spans="1:14" ht="12.75">
      <c r="A432" s="82" t="s">
        <v>309</v>
      </c>
      <c r="B432" s="51">
        <v>63680</v>
      </c>
      <c r="C432" s="7">
        <f>-2000-2000-850-150+10210.1</f>
        <v>5210.1</v>
      </c>
      <c r="D432" s="7">
        <f>-5000-280-1000</f>
        <v>-6280</v>
      </c>
      <c r="E432" s="52">
        <f>B432+C432+D432</f>
        <v>62610.100000000006</v>
      </c>
      <c r="F432" s="51">
        <f>-12000-450-952.3-13711.1-900-200-5660</f>
        <v>-33873.4</v>
      </c>
      <c r="G432" s="7"/>
      <c r="H432" s="52">
        <f>E432+F432+G432</f>
        <v>28736.700000000004</v>
      </c>
      <c r="I432" s="68">
        <f>-332-1200-11687</f>
        <v>-13219</v>
      </c>
      <c r="J432" s="7">
        <f>-3362</f>
        <v>-3362</v>
      </c>
      <c r="K432" s="165">
        <f>H432+I432+J432</f>
        <v>12155.700000000004</v>
      </c>
      <c r="L432" s="51">
        <f>-400-525-2000-5000</f>
        <v>-7925</v>
      </c>
      <c r="M432" s="7"/>
      <c r="N432" s="165">
        <f>K432+L432+M432</f>
        <v>4230.700000000004</v>
      </c>
    </row>
    <row r="433" spans="1:14" ht="12.75">
      <c r="A433" s="82" t="s">
        <v>168</v>
      </c>
      <c r="B433" s="51"/>
      <c r="C433" s="7">
        <v>30303.1</v>
      </c>
      <c r="D433" s="7"/>
      <c r="E433" s="52">
        <f>B433+C433+D433</f>
        <v>30303.1</v>
      </c>
      <c r="F433" s="51"/>
      <c r="G433" s="7"/>
      <c r="H433" s="52">
        <f>E433+F433+G433</f>
        <v>30303.1</v>
      </c>
      <c r="I433" s="51"/>
      <c r="J433" s="7"/>
      <c r="K433" s="165">
        <f>H433+I433+J433</f>
        <v>30303.1</v>
      </c>
      <c r="L433" s="51"/>
      <c r="M433" s="7"/>
      <c r="N433" s="165">
        <f>K433+L433+M433</f>
        <v>30303.1</v>
      </c>
    </row>
    <row r="434" spans="1:14" ht="12.75">
      <c r="A434" s="82" t="s">
        <v>169</v>
      </c>
      <c r="B434" s="51"/>
      <c r="C434" s="7"/>
      <c r="D434" s="7"/>
      <c r="E434" s="52">
        <f>B434+C434+D434</f>
        <v>0</v>
      </c>
      <c r="F434" s="51"/>
      <c r="G434" s="7">
        <v>1021.4</v>
      </c>
      <c r="H434" s="52">
        <f>E434+F434+G434</f>
        <v>1021.4</v>
      </c>
      <c r="I434" s="51"/>
      <c r="J434" s="7"/>
      <c r="K434" s="52">
        <f>H434+I434+J434</f>
        <v>1021.4</v>
      </c>
      <c r="L434" s="51"/>
      <c r="M434" s="7"/>
      <c r="N434" s="165">
        <f>K434+L434+M434</f>
        <v>1021.4</v>
      </c>
    </row>
    <row r="435" spans="1:14" ht="12.75">
      <c r="A435" s="76" t="s">
        <v>72</v>
      </c>
      <c r="B435" s="55">
        <v>61868</v>
      </c>
      <c r="C435" s="10"/>
      <c r="D435" s="10"/>
      <c r="E435" s="56">
        <f>B435+C435+D435</f>
        <v>61868</v>
      </c>
      <c r="F435" s="55"/>
      <c r="G435" s="10">
        <f>89858.4+3829.8</f>
        <v>93688.2</v>
      </c>
      <c r="H435" s="56">
        <f>E435+F435+G435</f>
        <v>155556.2</v>
      </c>
      <c r="I435" s="55">
        <v>-19700</v>
      </c>
      <c r="J435" s="10"/>
      <c r="K435" s="56">
        <f>H435+I435+J435</f>
        <v>135856.2</v>
      </c>
      <c r="L435" s="55">
        <f>-1500-1000-18760</f>
        <v>-21260</v>
      </c>
      <c r="M435" s="10"/>
      <c r="N435" s="164">
        <f>K435+L435+M435</f>
        <v>114596.20000000001</v>
      </c>
    </row>
    <row r="436" spans="1:14" ht="12.75">
      <c r="A436" s="70" t="s">
        <v>232</v>
      </c>
      <c r="B436" s="49">
        <f aca="true" t="shared" si="131" ref="B436:N436">B437</f>
        <v>2000</v>
      </c>
      <c r="C436" s="6">
        <f t="shared" si="131"/>
        <v>18.8</v>
      </c>
      <c r="D436" s="6">
        <f t="shared" si="131"/>
        <v>0</v>
      </c>
      <c r="E436" s="50">
        <f t="shared" si="131"/>
        <v>2018.8</v>
      </c>
      <c r="F436" s="138">
        <f t="shared" si="131"/>
        <v>0</v>
      </c>
      <c r="G436" s="6">
        <f t="shared" si="131"/>
        <v>0</v>
      </c>
      <c r="H436" s="50">
        <f t="shared" si="131"/>
        <v>2018.8</v>
      </c>
      <c r="I436" s="49">
        <f t="shared" si="131"/>
        <v>0</v>
      </c>
      <c r="J436" s="6">
        <f t="shared" si="131"/>
        <v>0</v>
      </c>
      <c r="K436" s="50">
        <f t="shared" si="131"/>
        <v>2018.8</v>
      </c>
      <c r="L436" s="49">
        <f t="shared" si="131"/>
        <v>0</v>
      </c>
      <c r="M436" s="6">
        <f t="shared" si="131"/>
        <v>0</v>
      </c>
      <c r="N436" s="149">
        <f t="shared" si="131"/>
        <v>2018.8</v>
      </c>
    </row>
    <row r="437" spans="1:14" ht="12.75">
      <c r="A437" s="79" t="s">
        <v>69</v>
      </c>
      <c r="B437" s="122">
        <f aca="true" t="shared" si="132" ref="B437:H437">B439</f>
        <v>2000</v>
      </c>
      <c r="C437" s="12">
        <f t="shared" si="132"/>
        <v>18.8</v>
      </c>
      <c r="D437" s="123">
        <f t="shared" si="132"/>
        <v>0</v>
      </c>
      <c r="E437" s="60">
        <f t="shared" si="132"/>
        <v>2018.8</v>
      </c>
      <c r="F437" s="139">
        <f t="shared" si="132"/>
        <v>0</v>
      </c>
      <c r="G437" s="12">
        <f t="shared" si="132"/>
        <v>0</v>
      </c>
      <c r="H437" s="60">
        <f t="shared" si="132"/>
        <v>2018.8</v>
      </c>
      <c r="I437" s="59">
        <f aca="true" t="shared" si="133" ref="I437:N437">I439</f>
        <v>0</v>
      </c>
      <c r="J437" s="12">
        <f t="shared" si="133"/>
        <v>0</v>
      </c>
      <c r="K437" s="60">
        <f t="shared" si="133"/>
        <v>2018.8</v>
      </c>
      <c r="L437" s="59">
        <f t="shared" si="133"/>
        <v>0</v>
      </c>
      <c r="M437" s="12">
        <f t="shared" si="133"/>
        <v>0</v>
      </c>
      <c r="N437" s="150">
        <f t="shared" si="133"/>
        <v>2018.8</v>
      </c>
    </row>
    <row r="438" spans="1:14" ht="12.75">
      <c r="A438" s="75" t="s">
        <v>38</v>
      </c>
      <c r="B438" s="51"/>
      <c r="C438" s="7"/>
      <c r="D438" s="7"/>
      <c r="E438" s="52"/>
      <c r="F438" s="51"/>
      <c r="G438" s="7"/>
      <c r="H438" s="52"/>
      <c r="I438" s="51"/>
      <c r="J438" s="7"/>
      <c r="K438" s="52"/>
      <c r="L438" s="51"/>
      <c r="M438" s="7"/>
      <c r="N438" s="165"/>
    </row>
    <row r="439" spans="1:14" ht="12.75">
      <c r="A439" s="76" t="s">
        <v>72</v>
      </c>
      <c r="B439" s="55">
        <v>2000</v>
      </c>
      <c r="C439" s="10">
        <v>18.8</v>
      </c>
      <c r="D439" s="10"/>
      <c r="E439" s="56">
        <f>B439+C439+D439</f>
        <v>2018.8</v>
      </c>
      <c r="F439" s="55"/>
      <c r="G439" s="10"/>
      <c r="H439" s="56">
        <f>E439+F439+G439</f>
        <v>2018.8</v>
      </c>
      <c r="I439" s="55"/>
      <c r="J439" s="10"/>
      <c r="K439" s="56">
        <f>H439+I439+J439</f>
        <v>2018.8</v>
      </c>
      <c r="L439" s="55"/>
      <c r="M439" s="10"/>
      <c r="N439" s="164">
        <f>K439+L439+M439</f>
        <v>2018.8</v>
      </c>
    </row>
    <row r="440" spans="1:14" ht="12.75">
      <c r="A440" s="70" t="s">
        <v>170</v>
      </c>
      <c r="B440" s="124">
        <f>B442+B443</f>
        <v>228908.1</v>
      </c>
      <c r="C440" s="129">
        <f aca="true" t="shared" si="134" ref="C440:N440">C442+C443</f>
        <v>226493.8</v>
      </c>
      <c r="D440" s="130">
        <f t="shared" si="134"/>
        <v>28926.2</v>
      </c>
      <c r="E440" s="133">
        <f t="shared" si="134"/>
        <v>484328.1</v>
      </c>
      <c r="F440" s="49">
        <f t="shared" si="134"/>
        <v>-42886.2</v>
      </c>
      <c r="G440" s="6">
        <f t="shared" si="134"/>
        <v>-12265.700000000003</v>
      </c>
      <c r="H440" s="50">
        <f t="shared" si="134"/>
        <v>429176.1999999999</v>
      </c>
      <c r="I440" s="49">
        <f t="shared" si="134"/>
        <v>29200</v>
      </c>
      <c r="J440" s="6">
        <f t="shared" si="134"/>
        <v>1807.7000000000003</v>
      </c>
      <c r="K440" s="50">
        <f t="shared" si="134"/>
        <v>460183.8999999999</v>
      </c>
      <c r="L440" s="49">
        <f t="shared" si="134"/>
        <v>23760</v>
      </c>
      <c r="M440" s="6">
        <f t="shared" si="134"/>
        <v>0</v>
      </c>
      <c r="N440" s="149">
        <f t="shared" si="134"/>
        <v>483943.89999999997</v>
      </c>
    </row>
    <row r="441" spans="1:14" ht="12.75">
      <c r="A441" s="72" t="s">
        <v>38</v>
      </c>
      <c r="B441" s="124"/>
      <c r="C441" s="6"/>
      <c r="D441" s="130"/>
      <c r="E441" s="50"/>
      <c r="F441" s="49"/>
      <c r="G441" s="6"/>
      <c r="H441" s="50"/>
      <c r="I441" s="49"/>
      <c r="J441" s="6"/>
      <c r="K441" s="50"/>
      <c r="L441" s="49"/>
      <c r="M441" s="6"/>
      <c r="N441" s="149"/>
    </row>
    <row r="442" spans="1:14" ht="12.75">
      <c r="A442" s="70" t="s">
        <v>69</v>
      </c>
      <c r="B442" s="124">
        <f>B457+B469+B471+B476+B481+B472+B462+B483+B464</f>
        <v>13747.2</v>
      </c>
      <c r="C442" s="124">
        <f aca="true" t="shared" si="135" ref="C442:H442">C457+C469+C471+C476+C481+C472+C462+C483+C464</f>
        <v>25737.7</v>
      </c>
      <c r="D442" s="124">
        <f t="shared" si="135"/>
        <v>14084</v>
      </c>
      <c r="E442" s="50">
        <f t="shared" si="135"/>
        <v>53568.9</v>
      </c>
      <c r="F442" s="124">
        <f t="shared" si="135"/>
        <v>1215</v>
      </c>
      <c r="G442" s="138">
        <f t="shared" si="135"/>
        <v>4882.6</v>
      </c>
      <c r="H442" s="50">
        <f t="shared" si="135"/>
        <v>59666.5</v>
      </c>
      <c r="I442" s="49">
        <f>I457+I469+I471+I476+I481+I472+I462+I483+I464</f>
        <v>4959.8</v>
      </c>
      <c r="J442" s="6">
        <f>J457+J469+J471+J476+J481+J472+J462+J483+J464</f>
        <v>2836.3</v>
      </c>
      <c r="K442" s="50">
        <f>K457+K469+K471+K476+K481+K472+K462+K483+K464</f>
        <v>67462.6</v>
      </c>
      <c r="L442" s="49">
        <f>L455+L457+L464+L476+L481+L472+L462+L469+L471+L483</f>
        <v>1545.8</v>
      </c>
      <c r="M442" s="6">
        <f>M455+M457+M464+M476+M481+M472+M462+M469+M471+M483</f>
        <v>0</v>
      </c>
      <c r="N442" s="149">
        <f>N455+N457+N464+N476+N481+N472+N462+N469+N471+N483</f>
        <v>69008.40000000001</v>
      </c>
    </row>
    <row r="443" spans="1:14" ht="12.75">
      <c r="A443" s="70" t="s">
        <v>75</v>
      </c>
      <c r="B443" s="124">
        <f aca="true" t="shared" si="136" ref="B443:H443">B446+B447+B449+B450+B452+B453+B454+B458+B459+B461+B463+B465+B467+B468+B470+B473+B475+B477+B478+B480+B482+B484+B485</f>
        <v>215160.9</v>
      </c>
      <c r="C443" s="6">
        <f t="shared" si="136"/>
        <v>200756.09999999998</v>
      </c>
      <c r="D443" s="130">
        <f t="shared" si="136"/>
        <v>14842.2</v>
      </c>
      <c r="E443" s="50">
        <f t="shared" si="136"/>
        <v>430759.19999999995</v>
      </c>
      <c r="F443" s="124">
        <f t="shared" si="136"/>
        <v>-44101.2</v>
      </c>
      <c r="G443" s="6">
        <f t="shared" si="136"/>
        <v>-17148.300000000003</v>
      </c>
      <c r="H443" s="50">
        <f t="shared" si="136"/>
        <v>369509.6999999999</v>
      </c>
      <c r="I443" s="49">
        <f aca="true" t="shared" si="137" ref="I443:N443">I446+I447+I449+I450+I452+I453+I454+I458+I459+I461+I463+I465+I467+I468+I470+I473+I475+I477+I478+I480+I482+I484+I485</f>
        <v>24240.2</v>
      </c>
      <c r="J443" s="6">
        <f t="shared" si="137"/>
        <v>-1028.6</v>
      </c>
      <c r="K443" s="50">
        <f t="shared" si="137"/>
        <v>392721.29999999993</v>
      </c>
      <c r="L443" s="49">
        <f t="shared" si="137"/>
        <v>22214.2</v>
      </c>
      <c r="M443" s="6">
        <f t="shared" si="137"/>
        <v>0</v>
      </c>
      <c r="N443" s="149">
        <f t="shared" si="137"/>
        <v>414935.49999999994</v>
      </c>
    </row>
    <row r="444" spans="1:14" ht="12.75">
      <c r="A444" s="71" t="s">
        <v>171</v>
      </c>
      <c r="B444" s="124"/>
      <c r="C444" s="6"/>
      <c r="D444" s="130"/>
      <c r="E444" s="50"/>
      <c r="F444" s="49"/>
      <c r="G444" s="6"/>
      <c r="H444" s="50"/>
      <c r="I444" s="49"/>
      <c r="J444" s="6"/>
      <c r="K444" s="50"/>
      <c r="L444" s="49"/>
      <c r="M444" s="6"/>
      <c r="N444" s="149"/>
    </row>
    <row r="445" spans="1:14" ht="12.75">
      <c r="A445" s="72" t="s">
        <v>172</v>
      </c>
      <c r="B445" s="63">
        <f>B446+B447</f>
        <v>0</v>
      </c>
      <c r="C445" s="7">
        <f aca="true" t="shared" si="138" ref="C445:N445">C446+C447</f>
        <v>0</v>
      </c>
      <c r="D445" s="121">
        <f t="shared" si="138"/>
        <v>0</v>
      </c>
      <c r="E445" s="52">
        <f t="shared" si="138"/>
        <v>0</v>
      </c>
      <c r="F445" s="51">
        <f t="shared" si="138"/>
        <v>500.3</v>
      </c>
      <c r="G445" s="7">
        <f t="shared" si="138"/>
        <v>0</v>
      </c>
      <c r="H445" s="52">
        <f t="shared" si="138"/>
        <v>500.3</v>
      </c>
      <c r="I445" s="51">
        <f t="shared" si="138"/>
        <v>0</v>
      </c>
      <c r="J445" s="7">
        <f t="shared" si="138"/>
        <v>0</v>
      </c>
      <c r="K445" s="52">
        <f t="shared" si="138"/>
        <v>500.3</v>
      </c>
      <c r="L445" s="51">
        <f t="shared" si="138"/>
        <v>0</v>
      </c>
      <c r="M445" s="7">
        <f t="shared" si="138"/>
        <v>0</v>
      </c>
      <c r="N445" s="165">
        <f t="shared" si="138"/>
        <v>500.3</v>
      </c>
    </row>
    <row r="446" spans="1:14" ht="12.75">
      <c r="A446" s="72" t="s">
        <v>173</v>
      </c>
      <c r="B446" s="63"/>
      <c r="C446" s="7"/>
      <c r="D446" s="130"/>
      <c r="E446" s="52">
        <f aca="true" t="shared" si="139" ref="E446:E485">B446+C446+D446</f>
        <v>0</v>
      </c>
      <c r="F446" s="51">
        <f>310.3+190</f>
        <v>500.3</v>
      </c>
      <c r="G446" s="6"/>
      <c r="H446" s="52">
        <f>E446+F446+G446</f>
        <v>500.3</v>
      </c>
      <c r="I446" s="51"/>
      <c r="J446" s="6"/>
      <c r="K446" s="52">
        <f>H446+I446+J446</f>
        <v>500.3</v>
      </c>
      <c r="L446" s="51"/>
      <c r="M446" s="6"/>
      <c r="N446" s="165">
        <f>K446+L446+M446</f>
        <v>500.3</v>
      </c>
    </row>
    <row r="447" spans="1:14" ht="12.75" hidden="1">
      <c r="A447" s="72" t="s">
        <v>174</v>
      </c>
      <c r="B447" s="63"/>
      <c r="C447" s="7"/>
      <c r="D447" s="121"/>
      <c r="E447" s="52">
        <f t="shared" si="139"/>
        <v>0</v>
      </c>
      <c r="F447" s="51"/>
      <c r="G447" s="6"/>
      <c r="H447" s="52">
        <f>E447+F447+G447</f>
        <v>0</v>
      </c>
      <c r="I447" s="51"/>
      <c r="J447" s="6"/>
      <c r="K447" s="52">
        <f>H447+I447+J447</f>
        <v>0</v>
      </c>
      <c r="L447" s="51"/>
      <c r="M447" s="6"/>
      <c r="N447" s="165">
        <f>K447+L447+M447</f>
        <v>0</v>
      </c>
    </row>
    <row r="448" spans="1:14" ht="12.75">
      <c r="A448" s="72" t="s">
        <v>175</v>
      </c>
      <c r="B448" s="63">
        <f>B449+B450</f>
        <v>2000</v>
      </c>
      <c r="C448" s="7">
        <f aca="true" t="shared" si="140" ref="C448:N448">C449+C450</f>
        <v>0</v>
      </c>
      <c r="D448" s="121">
        <f t="shared" si="140"/>
        <v>0</v>
      </c>
      <c r="E448" s="52">
        <f t="shared" si="140"/>
        <v>2000</v>
      </c>
      <c r="F448" s="51">
        <f t="shared" si="140"/>
        <v>3287.7</v>
      </c>
      <c r="G448" s="7">
        <f t="shared" si="140"/>
        <v>0</v>
      </c>
      <c r="H448" s="52">
        <f t="shared" si="140"/>
        <v>5287.7</v>
      </c>
      <c r="I448" s="51">
        <f t="shared" si="140"/>
        <v>0</v>
      </c>
      <c r="J448" s="7">
        <f t="shared" si="140"/>
        <v>0</v>
      </c>
      <c r="K448" s="52">
        <f t="shared" si="140"/>
        <v>5287.7</v>
      </c>
      <c r="L448" s="51">
        <f t="shared" si="140"/>
        <v>0</v>
      </c>
      <c r="M448" s="7">
        <f t="shared" si="140"/>
        <v>0</v>
      </c>
      <c r="N448" s="165">
        <f t="shared" si="140"/>
        <v>5287.7</v>
      </c>
    </row>
    <row r="449" spans="1:14" ht="12.75">
      <c r="A449" s="72" t="s">
        <v>173</v>
      </c>
      <c r="B449" s="63">
        <v>510</v>
      </c>
      <c r="C449" s="7">
        <v>1050</v>
      </c>
      <c r="D449" s="121"/>
      <c r="E449" s="52">
        <f t="shared" si="139"/>
        <v>1560</v>
      </c>
      <c r="F449" s="51">
        <v>800</v>
      </c>
      <c r="G449" s="6"/>
      <c r="H449" s="52">
        <f>E449+F449+G449</f>
        <v>2360</v>
      </c>
      <c r="I449" s="51"/>
      <c r="J449" s="6"/>
      <c r="K449" s="52">
        <f>H449+I449+J449</f>
        <v>2360</v>
      </c>
      <c r="L449" s="51">
        <v>30</v>
      </c>
      <c r="M449" s="6"/>
      <c r="N449" s="165">
        <f>K449+L449+M449</f>
        <v>2390</v>
      </c>
    </row>
    <row r="450" spans="1:14" ht="12.75">
      <c r="A450" s="72" t="s">
        <v>174</v>
      </c>
      <c r="B450" s="63">
        <v>1490</v>
      </c>
      <c r="C450" s="7">
        <v>-1050</v>
      </c>
      <c r="D450" s="121"/>
      <c r="E450" s="52">
        <f t="shared" si="139"/>
        <v>440</v>
      </c>
      <c r="F450" s="51">
        <v>2487.7</v>
      </c>
      <c r="G450" s="6"/>
      <c r="H450" s="52">
        <f>E450+F450+G450</f>
        <v>2927.7</v>
      </c>
      <c r="I450" s="51"/>
      <c r="J450" s="6"/>
      <c r="K450" s="52">
        <f>H450+I450+J450</f>
        <v>2927.7</v>
      </c>
      <c r="L450" s="51">
        <v>-30</v>
      </c>
      <c r="M450" s="6"/>
      <c r="N450" s="165">
        <f>K450+L450+M450</f>
        <v>2897.7</v>
      </c>
    </row>
    <row r="451" spans="1:14" ht="12.75">
      <c r="A451" s="72" t="s">
        <v>176</v>
      </c>
      <c r="B451" s="63">
        <f>SUM(B452:B454)</f>
        <v>63000</v>
      </c>
      <c r="C451" s="7">
        <f aca="true" t="shared" si="141" ref="C451:N451">SUM(C452:C454)</f>
        <v>22792.5</v>
      </c>
      <c r="D451" s="121">
        <f t="shared" si="141"/>
        <v>0</v>
      </c>
      <c r="E451" s="52">
        <f t="shared" si="141"/>
        <v>85792.5</v>
      </c>
      <c r="F451" s="51">
        <f>SUM(F452:F455)</f>
        <v>-11743.2</v>
      </c>
      <c r="G451" s="7">
        <f>SUM(G452:G455)</f>
        <v>0</v>
      </c>
      <c r="H451" s="52">
        <f>SUM(H452:H455)</f>
        <v>74049.29999999999</v>
      </c>
      <c r="I451" s="51">
        <f t="shared" si="141"/>
        <v>-5300</v>
      </c>
      <c r="J451" s="7">
        <f t="shared" si="141"/>
        <v>0</v>
      </c>
      <c r="K451" s="52">
        <f t="shared" si="141"/>
        <v>68749.29999999999</v>
      </c>
      <c r="L451" s="51">
        <f t="shared" si="141"/>
        <v>0</v>
      </c>
      <c r="M451" s="7">
        <f t="shared" si="141"/>
        <v>0</v>
      </c>
      <c r="N451" s="165">
        <f t="shared" si="141"/>
        <v>68749.29999999999</v>
      </c>
    </row>
    <row r="452" spans="1:14" ht="12.75">
      <c r="A452" s="72" t="s">
        <v>177</v>
      </c>
      <c r="B452" s="63"/>
      <c r="C452" s="7">
        <f>15000+3351.1</f>
        <v>18351.1</v>
      </c>
      <c r="D452" s="121"/>
      <c r="E452" s="52">
        <f t="shared" si="139"/>
        <v>18351.1</v>
      </c>
      <c r="F452" s="51"/>
      <c r="G452" s="7"/>
      <c r="H452" s="52">
        <f>E452+F452+G452</f>
        <v>18351.1</v>
      </c>
      <c r="I452" s="51"/>
      <c r="J452" s="7"/>
      <c r="K452" s="52">
        <f>H452+I452+J452</f>
        <v>18351.1</v>
      </c>
      <c r="L452" s="51"/>
      <c r="M452" s="7"/>
      <c r="N452" s="165">
        <f>K452+L452+M452</f>
        <v>18351.1</v>
      </c>
    </row>
    <row r="453" spans="1:14" ht="12.75">
      <c r="A453" s="72" t="s">
        <v>178</v>
      </c>
      <c r="B453" s="63">
        <v>53000</v>
      </c>
      <c r="C453" s="9">
        <f>-15000+22541.4</f>
        <v>7541.4000000000015</v>
      </c>
      <c r="D453" s="121"/>
      <c r="E453" s="52">
        <f t="shared" si="139"/>
        <v>60541.4</v>
      </c>
      <c r="F453" s="51">
        <v>-11743.2</v>
      </c>
      <c r="G453" s="7"/>
      <c r="H453" s="52">
        <f>E453+F453+G453</f>
        <v>48798.2</v>
      </c>
      <c r="I453" s="51">
        <v>1300</v>
      </c>
      <c r="J453" s="7"/>
      <c r="K453" s="52">
        <f>H453+I453+J453</f>
        <v>50098.2</v>
      </c>
      <c r="L453" s="51"/>
      <c r="M453" s="7"/>
      <c r="N453" s="165">
        <f>K453+L453+M453</f>
        <v>50098.2</v>
      </c>
    </row>
    <row r="454" spans="1:14" ht="12.75">
      <c r="A454" s="72" t="s">
        <v>174</v>
      </c>
      <c r="B454" s="63">
        <v>10000</v>
      </c>
      <c r="C454" s="7">
        <v>-3100</v>
      </c>
      <c r="D454" s="121"/>
      <c r="E454" s="52">
        <f t="shared" si="139"/>
        <v>6900</v>
      </c>
      <c r="F454" s="51"/>
      <c r="G454" s="7"/>
      <c r="H454" s="52">
        <f>E454+F454+G454</f>
        <v>6900</v>
      </c>
      <c r="I454" s="51">
        <f>-5000-300-1300</f>
        <v>-6600</v>
      </c>
      <c r="J454" s="7"/>
      <c r="K454" s="52">
        <f>H454+I454+J454</f>
        <v>300</v>
      </c>
      <c r="L454" s="51"/>
      <c r="M454" s="7"/>
      <c r="N454" s="165">
        <f>K454+L454+M454</f>
        <v>300</v>
      </c>
    </row>
    <row r="455" spans="1:14" ht="12.75" hidden="1">
      <c r="A455" s="73" t="s">
        <v>207</v>
      </c>
      <c r="B455" s="63"/>
      <c r="C455" s="7"/>
      <c r="D455" s="121"/>
      <c r="E455" s="52">
        <f t="shared" si="139"/>
        <v>0</v>
      </c>
      <c r="F455" s="51"/>
      <c r="G455" s="7"/>
      <c r="H455" s="52">
        <f>E455+F455+G455</f>
        <v>0</v>
      </c>
      <c r="I455" s="51"/>
      <c r="J455" s="7"/>
      <c r="K455" s="52">
        <f>H455+I455+J455</f>
        <v>0</v>
      </c>
      <c r="L455" s="51"/>
      <c r="M455" s="7"/>
      <c r="N455" s="165">
        <f>K455+L455+M455</f>
        <v>0</v>
      </c>
    </row>
    <row r="456" spans="1:14" ht="12.75">
      <c r="A456" s="72" t="s">
        <v>179</v>
      </c>
      <c r="B456" s="63">
        <f aca="true" t="shared" si="142" ref="B456:H456">B457+B458+B459</f>
        <v>4557.2</v>
      </c>
      <c r="C456" s="7">
        <f t="shared" si="142"/>
        <v>0</v>
      </c>
      <c r="D456" s="121">
        <f t="shared" si="142"/>
        <v>0</v>
      </c>
      <c r="E456" s="52">
        <f t="shared" si="142"/>
        <v>4557.2</v>
      </c>
      <c r="F456" s="63">
        <f t="shared" si="142"/>
        <v>500</v>
      </c>
      <c r="G456" s="7">
        <f t="shared" si="142"/>
        <v>961.6</v>
      </c>
      <c r="H456" s="52">
        <f t="shared" si="142"/>
        <v>6018.8</v>
      </c>
      <c r="I456" s="51">
        <f aca="true" t="shared" si="143" ref="I456:N456">I457+I458+I459</f>
        <v>0</v>
      </c>
      <c r="J456" s="7">
        <f t="shared" si="143"/>
        <v>0</v>
      </c>
      <c r="K456" s="52">
        <f t="shared" si="143"/>
        <v>6018.8</v>
      </c>
      <c r="L456" s="51">
        <f t="shared" si="143"/>
        <v>0</v>
      </c>
      <c r="M456" s="7">
        <f t="shared" si="143"/>
        <v>0</v>
      </c>
      <c r="N456" s="165">
        <f t="shared" si="143"/>
        <v>6018.8</v>
      </c>
    </row>
    <row r="457" spans="1:14" ht="12.75">
      <c r="A457" s="72" t="s">
        <v>180</v>
      </c>
      <c r="B457" s="63">
        <v>3497.2</v>
      </c>
      <c r="C457" s="7">
        <v>-947.2</v>
      </c>
      <c r="D457" s="121"/>
      <c r="E457" s="52">
        <f t="shared" si="139"/>
        <v>2550</v>
      </c>
      <c r="F457" s="51">
        <f>500+70</f>
        <v>570</v>
      </c>
      <c r="G457" s="7">
        <v>961.6</v>
      </c>
      <c r="H457" s="52">
        <f>E457+F457+G457</f>
        <v>4081.6</v>
      </c>
      <c r="I457" s="51"/>
      <c r="J457" s="7"/>
      <c r="K457" s="52">
        <f>H457+I457+J457</f>
        <v>4081.6</v>
      </c>
      <c r="L457" s="51"/>
      <c r="M457" s="7"/>
      <c r="N457" s="165">
        <f>K457+L457+M457</f>
        <v>4081.6</v>
      </c>
    </row>
    <row r="458" spans="1:14" ht="12.75">
      <c r="A458" s="72" t="s">
        <v>178</v>
      </c>
      <c r="B458" s="63">
        <v>560</v>
      </c>
      <c r="C458" s="7">
        <v>76</v>
      </c>
      <c r="D458" s="121"/>
      <c r="E458" s="52">
        <f t="shared" si="139"/>
        <v>636</v>
      </c>
      <c r="F458" s="51">
        <f>650+50</f>
        <v>700</v>
      </c>
      <c r="G458" s="7"/>
      <c r="H458" s="52">
        <f>E458+F458+G458</f>
        <v>1336</v>
      </c>
      <c r="I458" s="51">
        <v>50</v>
      </c>
      <c r="J458" s="7"/>
      <c r="K458" s="52">
        <f>H458+I458+J458</f>
        <v>1386</v>
      </c>
      <c r="L458" s="51"/>
      <c r="M458" s="7"/>
      <c r="N458" s="165">
        <f>K458+L458+M458</f>
        <v>1386</v>
      </c>
    </row>
    <row r="459" spans="1:14" ht="12.75">
      <c r="A459" s="72" t="s">
        <v>174</v>
      </c>
      <c r="B459" s="63">
        <v>500</v>
      </c>
      <c r="C459" s="7">
        <v>871.2</v>
      </c>
      <c r="D459" s="121"/>
      <c r="E459" s="52">
        <f t="shared" si="139"/>
        <v>1371.2</v>
      </c>
      <c r="F459" s="51">
        <f>-650-70-50</f>
        <v>-770</v>
      </c>
      <c r="G459" s="7"/>
      <c r="H459" s="52">
        <f>E459+F459+G459</f>
        <v>601.2</v>
      </c>
      <c r="I459" s="51">
        <v>-50</v>
      </c>
      <c r="J459" s="7"/>
      <c r="K459" s="52">
        <f>H459+I459+J459</f>
        <v>551.2</v>
      </c>
      <c r="L459" s="51"/>
      <c r="M459" s="7"/>
      <c r="N459" s="165">
        <f>K459+L459+M459</f>
        <v>551.2</v>
      </c>
    </row>
    <row r="460" spans="1:14" ht="12.75">
      <c r="A460" s="72" t="s">
        <v>181</v>
      </c>
      <c r="B460" s="63">
        <f>SUM(B461:B465)</f>
        <v>38200</v>
      </c>
      <c r="C460" s="7">
        <f aca="true" t="shared" si="144" ref="C460:N460">SUM(C461:C465)</f>
        <v>72661.9</v>
      </c>
      <c r="D460" s="121">
        <f t="shared" si="144"/>
        <v>24810.100000000002</v>
      </c>
      <c r="E460" s="52">
        <f t="shared" si="144"/>
        <v>135672</v>
      </c>
      <c r="F460" s="51">
        <f t="shared" si="144"/>
        <v>0</v>
      </c>
      <c r="G460" s="7">
        <f t="shared" si="144"/>
        <v>-14250</v>
      </c>
      <c r="H460" s="52">
        <f t="shared" si="144"/>
        <v>121421.99999999999</v>
      </c>
      <c r="I460" s="51">
        <f t="shared" si="144"/>
        <v>5000</v>
      </c>
      <c r="J460" s="7">
        <f t="shared" si="144"/>
        <v>1807.7000000000003</v>
      </c>
      <c r="K460" s="52">
        <f t="shared" si="144"/>
        <v>128229.69999999998</v>
      </c>
      <c r="L460" s="51">
        <f t="shared" si="144"/>
        <v>18760</v>
      </c>
      <c r="M460" s="7">
        <f t="shared" si="144"/>
        <v>0</v>
      </c>
      <c r="N460" s="165">
        <f t="shared" si="144"/>
        <v>146989.7</v>
      </c>
    </row>
    <row r="461" spans="1:14" ht="12.75">
      <c r="A461" s="72" t="s">
        <v>182</v>
      </c>
      <c r="B461" s="63">
        <v>28900</v>
      </c>
      <c r="C461" s="9">
        <f>16260+22661.9</f>
        <v>38921.9</v>
      </c>
      <c r="D461" s="121">
        <v>12409.2</v>
      </c>
      <c r="E461" s="52">
        <f t="shared" si="139"/>
        <v>80231.09999999999</v>
      </c>
      <c r="F461" s="51"/>
      <c r="G461" s="7">
        <v>600</v>
      </c>
      <c r="H461" s="52">
        <f>E461+F461+G461</f>
        <v>80831.09999999999</v>
      </c>
      <c r="I461" s="51">
        <v>5000</v>
      </c>
      <c r="J461" s="7">
        <f>700+133.7+1807.7</f>
        <v>2641.4</v>
      </c>
      <c r="K461" s="52">
        <f>H461+I461+J461</f>
        <v>88472.49999999999</v>
      </c>
      <c r="L461" s="51">
        <f>18760-411.8</f>
        <v>18348.2</v>
      </c>
      <c r="M461" s="7"/>
      <c r="N461" s="165">
        <f>K461+L461+M461</f>
        <v>106820.69999999998</v>
      </c>
    </row>
    <row r="462" spans="1:14" ht="12.75">
      <c r="A462" s="72" t="s">
        <v>183</v>
      </c>
      <c r="B462" s="63">
        <v>9050</v>
      </c>
      <c r="C462" s="7">
        <v>11990</v>
      </c>
      <c r="D462" s="121">
        <v>11224.2</v>
      </c>
      <c r="E462" s="52">
        <f t="shared" si="139"/>
        <v>32264.2</v>
      </c>
      <c r="F462" s="51"/>
      <c r="G462" s="7">
        <v>350</v>
      </c>
      <c r="H462" s="52">
        <f>E462+F462+G462</f>
        <v>32614.2</v>
      </c>
      <c r="I462" s="51"/>
      <c r="J462" s="7">
        <f>200+301.3</f>
        <v>501.3</v>
      </c>
      <c r="K462" s="52">
        <f>H462+I462+J462</f>
        <v>33115.5</v>
      </c>
      <c r="L462" s="51">
        <v>411.8</v>
      </c>
      <c r="M462" s="7"/>
      <c r="N462" s="165">
        <f>K462+L462+M462</f>
        <v>33527.3</v>
      </c>
    </row>
    <row r="463" spans="1:14" ht="13.5" customHeight="1" hidden="1">
      <c r="A463" s="72" t="s">
        <v>184</v>
      </c>
      <c r="B463" s="63"/>
      <c r="C463" s="7">
        <f>10000+1900</f>
        <v>11900</v>
      </c>
      <c r="D463" s="121"/>
      <c r="E463" s="52">
        <f t="shared" si="139"/>
        <v>11900</v>
      </c>
      <c r="F463" s="51"/>
      <c r="G463" s="7">
        <v>-11900</v>
      </c>
      <c r="H463" s="52">
        <f>E463+F463+G463</f>
        <v>0</v>
      </c>
      <c r="I463" s="51"/>
      <c r="J463" s="7"/>
      <c r="K463" s="52">
        <f>H463+I463+J463</f>
        <v>0</v>
      </c>
      <c r="L463" s="51"/>
      <c r="M463" s="7"/>
      <c r="N463" s="165">
        <f>K463+L463+M463</f>
        <v>0</v>
      </c>
    </row>
    <row r="464" spans="1:14" ht="13.5" customHeight="1">
      <c r="A464" s="73" t="s">
        <v>207</v>
      </c>
      <c r="B464" s="63"/>
      <c r="C464" s="7">
        <v>6500</v>
      </c>
      <c r="D464" s="121"/>
      <c r="E464" s="52">
        <f t="shared" si="139"/>
        <v>6500</v>
      </c>
      <c r="F464" s="51"/>
      <c r="G464" s="7"/>
      <c r="H464" s="52">
        <f>E464+F464+G464</f>
        <v>6500</v>
      </c>
      <c r="I464" s="51"/>
      <c r="J464" s="7"/>
      <c r="K464" s="52">
        <f>H464+I464+J464</f>
        <v>6500</v>
      </c>
      <c r="L464" s="51"/>
      <c r="M464" s="7"/>
      <c r="N464" s="165">
        <f>K464+L464+M464</f>
        <v>6500</v>
      </c>
    </row>
    <row r="465" spans="1:14" ht="12.75">
      <c r="A465" s="72" t="s">
        <v>185</v>
      </c>
      <c r="B465" s="63">
        <v>250</v>
      </c>
      <c r="C465" s="7">
        <v>3350</v>
      </c>
      <c r="D465" s="121">
        <v>1176.7</v>
      </c>
      <c r="E465" s="52">
        <f t="shared" si="139"/>
        <v>4776.7</v>
      </c>
      <c r="F465" s="51"/>
      <c r="G465" s="7">
        <f>-2350-950</f>
        <v>-3300</v>
      </c>
      <c r="H465" s="52">
        <f>E465+F465+G465</f>
        <v>1476.6999999999998</v>
      </c>
      <c r="I465" s="51"/>
      <c r="J465" s="7">
        <f>-900-435</f>
        <v>-1335</v>
      </c>
      <c r="K465" s="52">
        <f>H465+I465+J465</f>
        <v>141.69999999999982</v>
      </c>
      <c r="L465" s="51"/>
      <c r="M465" s="7"/>
      <c r="N465" s="165">
        <f>K465+L465+M465</f>
        <v>141.69999999999982</v>
      </c>
    </row>
    <row r="466" spans="1:14" ht="12.75">
      <c r="A466" s="72" t="s">
        <v>186</v>
      </c>
      <c r="B466" s="63">
        <f>SUM(B467:B473)</f>
        <v>79780</v>
      </c>
      <c r="C466" s="7">
        <f aca="true" t="shared" si="145" ref="C466:N466">SUM(C467:C473)</f>
        <v>67536.40000000001</v>
      </c>
      <c r="D466" s="121">
        <f t="shared" si="145"/>
        <v>0</v>
      </c>
      <c r="E466" s="52">
        <f t="shared" si="145"/>
        <v>147316.39999999997</v>
      </c>
      <c r="F466" s="51">
        <f t="shared" si="145"/>
        <v>-35431</v>
      </c>
      <c r="G466" s="7">
        <f t="shared" si="145"/>
        <v>297</v>
      </c>
      <c r="H466" s="52">
        <f t="shared" si="145"/>
        <v>112182.40000000001</v>
      </c>
      <c r="I466" s="51">
        <f t="shared" si="145"/>
        <v>23700</v>
      </c>
      <c r="J466" s="7">
        <f t="shared" si="145"/>
        <v>-1.3500311979441904E-13</v>
      </c>
      <c r="K466" s="52">
        <f t="shared" si="145"/>
        <v>135882.40000000002</v>
      </c>
      <c r="L466" s="51">
        <f t="shared" si="145"/>
        <v>5000</v>
      </c>
      <c r="M466" s="7">
        <f t="shared" si="145"/>
        <v>0</v>
      </c>
      <c r="N466" s="165">
        <f t="shared" si="145"/>
        <v>140882.40000000002</v>
      </c>
    </row>
    <row r="467" spans="1:14" ht="12.75">
      <c r="A467" s="72" t="s">
        <v>187</v>
      </c>
      <c r="B467" s="63">
        <v>53416</v>
      </c>
      <c r="C467" s="7">
        <f>19355.8+22851.7+15750</f>
        <v>57957.5</v>
      </c>
      <c r="D467" s="121"/>
      <c r="E467" s="52">
        <f t="shared" si="139"/>
        <v>111373.5</v>
      </c>
      <c r="F467" s="51">
        <f>63.8-35256</f>
        <v>-35192.2</v>
      </c>
      <c r="G467" s="7">
        <v>1900.5</v>
      </c>
      <c r="H467" s="52">
        <f aca="true" t="shared" si="146" ref="H467:H473">E467+F467+G467</f>
        <v>78081.8</v>
      </c>
      <c r="I467" s="51">
        <v>17700</v>
      </c>
      <c r="J467" s="7">
        <f>-5312.1+391.8</f>
        <v>-4920.3</v>
      </c>
      <c r="K467" s="52">
        <f aca="true" t="shared" si="147" ref="K467:K473">H467+I467+J467</f>
        <v>90861.5</v>
      </c>
      <c r="L467" s="51">
        <v>2705</v>
      </c>
      <c r="M467" s="7"/>
      <c r="N467" s="165">
        <f aca="true" t="shared" si="148" ref="N467:N473">K467+L467+M467</f>
        <v>93566.5</v>
      </c>
    </row>
    <row r="468" spans="1:14" ht="12.75">
      <c r="A468" s="72" t="s">
        <v>188</v>
      </c>
      <c r="B468" s="63">
        <v>10855</v>
      </c>
      <c r="C468" s="7">
        <f>6381.8+3575</f>
        <v>9956.8</v>
      </c>
      <c r="D468" s="121"/>
      <c r="E468" s="52">
        <f t="shared" si="139"/>
        <v>20811.8</v>
      </c>
      <c r="F468" s="51">
        <v>-463.8</v>
      </c>
      <c r="G468" s="7">
        <v>-16.8</v>
      </c>
      <c r="H468" s="52">
        <f t="shared" si="146"/>
        <v>20331.2</v>
      </c>
      <c r="I468" s="51">
        <v>6000</v>
      </c>
      <c r="J468" s="7">
        <v>3099</v>
      </c>
      <c r="K468" s="52">
        <f t="shared" si="147"/>
        <v>29430.2</v>
      </c>
      <c r="L468" s="51">
        <v>1330</v>
      </c>
      <c r="M468" s="7"/>
      <c r="N468" s="165">
        <f t="shared" si="148"/>
        <v>30760.2</v>
      </c>
    </row>
    <row r="469" spans="1:14" ht="12.75" hidden="1">
      <c r="A469" s="72" t="s">
        <v>189</v>
      </c>
      <c r="B469" s="63"/>
      <c r="C469" s="9"/>
      <c r="D469" s="121"/>
      <c r="E469" s="52">
        <f t="shared" si="139"/>
        <v>0</v>
      </c>
      <c r="F469" s="51"/>
      <c r="G469" s="7"/>
      <c r="H469" s="52">
        <f t="shared" si="146"/>
        <v>0</v>
      </c>
      <c r="I469" s="51"/>
      <c r="J469" s="7"/>
      <c r="K469" s="52">
        <f t="shared" si="147"/>
        <v>0</v>
      </c>
      <c r="L469" s="51"/>
      <c r="M469" s="7"/>
      <c r="N469" s="165">
        <f t="shared" si="148"/>
        <v>0</v>
      </c>
    </row>
    <row r="470" spans="1:14" ht="12.75">
      <c r="A470" s="72" t="s">
        <v>190</v>
      </c>
      <c r="B470" s="63">
        <v>6009</v>
      </c>
      <c r="C470" s="7">
        <f>1430.5</f>
        <v>1430.5</v>
      </c>
      <c r="D470" s="121">
        <v>16.5</v>
      </c>
      <c r="E470" s="52">
        <f t="shared" si="139"/>
        <v>7456</v>
      </c>
      <c r="F470" s="51"/>
      <c r="G470" s="7"/>
      <c r="H470" s="52">
        <f t="shared" si="146"/>
        <v>7456</v>
      </c>
      <c r="I470" s="51"/>
      <c r="J470" s="7">
        <v>310</v>
      </c>
      <c r="K470" s="52">
        <f t="shared" si="147"/>
        <v>7766</v>
      </c>
      <c r="L470" s="51"/>
      <c r="M470" s="7"/>
      <c r="N470" s="165">
        <f t="shared" si="148"/>
        <v>7766</v>
      </c>
    </row>
    <row r="471" spans="1:14" ht="12.75">
      <c r="A471" s="72" t="s">
        <v>191</v>
      </c>
      <c r="B471" s="63"/>
      <c r="C471" s="7">
        <v>175</v>
      </c>
      <c r="D471" s="121">
        <v>185</v>
      </c>
      <c r="E471" s="52">
        <f t="shared" si="139"/>
        <v>360</v>
      </c>
      <c r="F471" s="51">
        <v>-175</v>
      </c>
      <c r="G471" s="7"/>
      <c r="H471" s="52">
        <f t="shared" si="146"/>
        <v>185</v>
      </c>
      <c r="I471" s="68"/>
      <c r="J471" s="7"/>
      <c r="K471" s="52">
        <f t="shared" si="147"/>
        <v>185</v>
      </c>
      <c r="L471" s="51"/>
      <c r="M471" s="7"/>
      <c r="N471" s="165">
        <f t="shared" si="148"/>
        <v>185</v>
      </c>
    </row>
    <row r="472" spans="1:14" ht="12.75">
      <c r="A472" s="72" t="s">
        <v>192</v>
      </c>
      <c r="B472" s="63"/>
      <c r="C472" s="7">
        <f>1557.8+500</f>
        <v>2057.8</v>
      </c>
      <c r="D472" s="121"/>
      <c r="E472" s="52">
        <f t="shared" si="139"/>
        <v>2057.8</v>
      </c>
      <c r="F472" s="51">
        <v>420</v>
      </c>
      <c r="G472" s="7">
        <v>3021</v>
      </c>
      <c r="H472" s="52">
        <f t="shared" si="146"/>
        <v>5498.8</v>
      </c>
      <c r="I472" s="51"/>
      <c r="J472" s="7">
        <f>1841.5-391.8</f>
        <v>1449.7</v>
      </c>
      <c r="K472" s="52">
        <f t="shared" si="147"/>
        <v>6948.5</v>
      </c>
      <c r="L472" s="51">
        <v>965</v>
      </c>
      <c r="M472" s="7"/>
      <c r="N472" s="165">
        <f t="shared" si="148"/>
        <v>7913.5</v>
      </c>
    </row>
    <row r="473" spans="1:14" ht="12.75">
      <c r="A473" s="72" t="s">
        <v>185</v>
      </c>
      <c r="B473" s="63">
        <v>9500</v>
      </c>
      <c r="C473" s="7">
        <v>-4041.2</v>
      </c>
      <c r="D473" s="121">
        <v>-201.5</v>
      </c>
      <c r="E473" s="52">
        <f t="shared" si="139"/>
        <v>5257.3</v>
      </c>
      <c r="F473" s="51">
        <v>-20</v>
      </c>
      <c r="G473" s="7">
        <f>297-4904.7</f>
        <v>-4607.7</v>
      </c>
      <c r="H473" s="52">
        <f t="shared" si="146"/>
        <v>629.6000000000004</v>
      </c>
      <c r="I473" s="51"/>
      <c r="J473" s="7">
        <v>61.6</v>
      </c>
      <c r="K473" s="52">
        <f t="shared" si="147"/>
        <v>691.2000000000004</v>
      </c>
      <c r="L473" s="51"/>
      <c r="M473" s="7"/>
      <c r="N473" s="165">
        <f t="shared" si="148"/>
        <v>691.2000000000004</v>
      </c>
    </row>
    <row r="474" spans="1:14" ht="12.75">
      <c r="A474" s="72" t="s">
        <v>193</v>
      </c>
      <c r="B474" s="63">
        <f>SUM(B475:B478)</f>
        <v>3500</v>
      </c>
      <c r="C474" s="7">
        <f aca="true" t="shared" si="149" ref="C474:N474">SUM(C475:C478)</f>
        <v>0</v>
      </c>
      <c r="D474" s="121">
        <f t="shared" si="149"/>
        <v>4116.1</v>
      </c>
      <c r="E474" s="52">
        <f t="shared" si="149"/>
        <v>7616.1</v>
      </c>
      <c r="F474" s="51">
        <f t="shared" si="149"/>
        <v>0</v>
      </c>
      <c r="G474" s="7">
        <f t="shared" si="149"/>
        <v>0</v>
      </c>
      <c r="H474" s="52">
        <f t="shared" si="149"/>
        <v>7616.1</v>
      </c>
      <c r="I474" s="51">
        <f t="shared" si="149"/>
        <v>0</v>
      </c>
      <c r="J474" s="7">
        <f t="shared" si="149"/>
        <v>0</v>
      </c>
      <c r="K474" s="52">
        <f t="shared" si="149"/>
        <v>7616.1</v>
      </c>
      <c r="L474" s="51">
        <f t="shared" si="149"/>
        <v>0</v>
      </c>
      <c r="M474" s="7">
        <f t="shared" si="149"/>
        <v>0</v>
      </c>
      <c r="N474" s="165">
        <f t="shared" si="149"/>
        <v>7616.1</v>
      </c>
    </row>
    <row r="475" spans="1:14" ht="12.75">
      <c r="A475" s="72" t="s">
        <v>182</v>
      </c>
      <c r="B475" s="63">
        <v>2400</v>
      </c>
      <c r="C475" s="7"/>
      <c r="D475" s="121">
        <v>50</v>
      </c>
      <c r="E475" s="52">
        <f t="shared" si="139"/>
        <v>2450</v>
      </c>
      <c r="F475" s="51">
        <v>-285</v>
      </c>
      <c r="G475" s="7">
        <v>600</v>
      </c>
      <c r="H475" s="52">
        <f>E475+F475+G475</f>
        <v>2765</v>
      </c>
      <c r="I475" s="51">
        <v>300</v>
      </c>
      <c r="J475" s="7">
        <v>595</v>
      </c>
      <c r="K475" s="52">
        <f>H475+I475+J475</f>
        <v>3660</v>
      </c>
      <c r="L475" s="51"/>
      <c r="M475" s="7"/>
      <c r="N475" s="165">
        <f>K475+L475+M475</f>
        <v>3660</v>
      </c>
    </row>
    <row r="476" spans="1:14" ht="12.75">
      <c r="A476" s="72" t="s">
        <v>183</v>
      </c>
      <c r="B476" s="63"/>
      <c r="C476" s="7"/>
      <c r="D476" s="121">
        <v>300</v>
      </c>
      <c r="E476" s="52">
        <f t="shared" si="139"/>
        <v>300</v>
      </c>
      <c r="F476" s="51">
        <v>400</v>
      </c>
      <c r="G476" s="7">
        <v>550</v>
      </c>
      <c r="H476" s="52">
        <f>E476+F476+G476</f>
        <v>1250</v>
      </c>
      <c r="I476" s="51">
        <v>-144</v>
      </c>
      <c r="J476" s="7">
        <v>100</v>
      </c>
      <c r="K476" s="52">
        <f>H476+I476+J476</f>
        <v>1206</v>
      </c>
      <c r="L476" s="51"/>
      <c r="M476" s="7"/>
      <c r="N476" s="165">
        <f>K476+L476+M476</f>
        <v>1206</v>
      </c>
    </row>
    <row r="477" spans="1:14" ht="12.75">
      <c r="A477" s="72" t="s">
        <v>184</v>
      </c>
      <c r="B477" s="63">
        <v>600</v>
      </c>
      <c r="C477" s="7"/>
      <c r="D477" s="121"/>
      <c r="E477" s="52">
        <f t="shared" si="139"/>
        <v>600</v>
      </c>
      <c r="F477" s="51"/>
      <c r="G477" s="7"/>
      <c r="H477" s="52">
        <f>E477+F477+G477</f>
        <v>600</v>
      </c>
      <c r="I477" s="51"/>
      <c r="J477" s="7"/>
      <c r="K477" s="52">
        <f>H477+I477+J477</f>
        <v>600</v>
      </c>
      <c r="L477" s="51"/>
      <c r="M477" s="7"/>
      <c r="N477" s="165">
        <f>K477+L477+M477</f>
        <v>600</v>
      </c>
    </row>
    <row r="478" spans="1:14" ht="12.75">
      <c r="A478" s="72" t="s">
        <v>185</v>
      </c>
      <c r="B478" s="63">
        <v>500</v>
      </c>
      <c r="C478" s="7"/>
      <c r="D478" s="121">
        <v>3766.1</v>
      </c>
      <c r="E478" s="52">
        <f t="shared" si="139"/>
        <v>4266.1</v>
      </c>
      <c r="F478" s="51">
        <v>-115</v>
      </c>
      <c r="G478" s="7">
        <v>-1150</v>
      </c>
      <c r="H478" s="52">
        <f>E478+F478+G478</f>
        <v>3001.1000000000004</v>
      </c>
      <c r="I478" s="51">
        <v>-156</v>
      </c>
      <c r="J478" s="7">
        <v>-695</v>
      </c>
      <c r="K478" s="52">
        <f>H478+I478+J478</f>
        <v>2150.1000000000004</v>
      </c>
      <c r="L478" s="51"/>
      <c r="M478" s="7"/>
      <c r="N478" s="165">
        <f>K478+L478+M478</f>
        <v>2150.1000000000004</v>
      </c>
    </row>
    <row r="479" spans="1:14" ht="12.75">
      <c r="A479" s="72" t="s">
        <v>194</v>
      </c>
      <c r="B479" s="63">
        <f>SUM(B480:B484)</f>
        <v>35979.8</v>
      </c>
      <c r="C479" s="7">
        <f aca="true" t="shared" si="150" ref="C479:N479">SUM(C480:C484)</f>
        <v>63502.99999999999</v>
      </c>
      <c r="D479" s="121">
        <f t="shared" si="150"/>
        <v>0</v>
      </c>
      <c r="E479" s="52">
        <f t="shared" si="150"/>
        <v>99482.8</v>
      </c>
      <c r="F479" s="51">
        <f t="shared" si="150"/>
        <v>0</v>
      </c>
      <c r="G479" s="7">
        <f t="shared" si="150"/>
        <v>60.6</v>
      </c>
      <c r="H479" s="52">
        <f t="shared" si="150"/>
        <v>99543.40000000001</v>
      </c>
      <c r="I479" s="51">
        <f t="shared" si="150"/>
        <v>5800</v>
      </c>
      <c r="J479" s="7">
        <f t="shared" si="150"/>
        <v>0</v>
      </c>
      <c r="K479" s="52">
        <f t="shared" si="150"/>
        <v>105343.4</v>
      </c>
      <c r="L479" s="51">
        <f t="shared" si="150"/>
        <v>0</v>
      </c>
      <c r="M479" s="7">
        <f t="shared" si="150"/>
        <v>0</v>
      </c>
      <c r="N479" s="165">
        <f t="shared" si="150"/>
        <v>105343.4</v>
      </c>
    </row>
    <row r="480" spans="1:14" ht="12.75">
      <c r="A480" s="72" t="s">
        <v>182</v>
      </c>
      <c r="B480" s="63">
        <v>7700</v>
      </c>
      <c r="C480" s="7">
        <f>8938-200+6600</f>
        <v>15338</v>
      </c>
      <c r="D480" s="121">
        <v>200</v>
      </c>
      <c r="E480" s="52">
        <f t="shared" si="139"/>
        <v>23238</v>
      </c>
      <c r="F480" s="51">
        <v>-500</v>
      </c>
      <c r="G480" s="7"/>
      <c r="H480" s="52">
        <f>E480+F480+G480</f>
        <v>22738</v>
      </c>
      <c r="I480" s="51">
        <f>114.3-387</f>
        <v>-272.7</v>
      </c>
      <c r="J480" s="7"/>
      <c r="K480" s="52">
        <f aca="true" t="shared" si="151" ref="K480:K485">H480+I480+J480</f>
        <v>22465.3</v>
      </c>
      <c r="L480" s="51">
        <f>200-369</f>
        <v>-169</v>
      </c>
      <c r="M480" s="7"/>
      <c r="N480" s="165">
        <f aca="true" t="shared" si="152" ref="N480:N485">K480+L480+M480</f>
        <v>22296.3</v>
      </c>
    </row>
    <row r="481" spans="1:14" ht="12.75">
      <c r="A481" s="72" t="s">
        <v>183</v>
      </c>
      <c r="B481" s="63">
        <v>1100</v>
      </c>
      <c r="C481" s="7">
        <f>1138.1+400</f>
        <v>1538.1</v>
      </c>
      <c r="D481" s="121"/>
      <c r="E481" s="52">
        <f t="shared" si="139"/>
        <v>2638.1</v>
      </c>
      <c r="F481" s="51"/>
      <c r="G481" s="7"/>
      <c r="H481" s="52">
        <f>E481+F481+G481</f>
        <v>2638.1</v>
      </c>
      <c r="I481" s="51">
        <f>-83.2+387+5800</f>
        <v>6103.8</v>
      </c>
      <c r="J481" s="7">
        <v>785.3</v>
      </c>
      <c r="K481" s="52">
        <f t="shared" si="151"/>
        <v>9527.199999999999</v>
      </c>
      <c r="L481" s="51">
        <f>-200+369</f>
        <v>169</v>
      </c>
      <c r="M481" s="7"/>
      <c r="N481" s="165">
        <f t="shared" si="152"/>
        <v>9696.199999999999</v>
      </c>
    </row>
    <row r="482" spans="1:14" ht="12.75">
      <c r="A482" s="72" t="s">
        <v>195</v>
      </c>
      <c r="B482" s="63">
        <v>27079.8</v>
      </c>
      <c r="C482" s="7">
        <f>21047.1+200+20955.8</f>
        <v>42202.899999999994</v>
      </c>
      <c r="D482" s="121">
        <v>-2574.8</v>
      </c>
      <c r="E482" s="52">
        <f t="shared" si="139"/>
        <v>66707.9</v>
      </c>
      <c r="F482" s="51">
        <v>500</v>
      </c>
      <c r="G482" s="7"/>
      <c r="H482" s="52">
        <f>E482+F482+G482</f>
        <v>67207.9</v>
      </c>
      <c r="I482" s="51">
        <f>-31.1+1000</f>
        <v>968.9</v>
      </c>
      <c r="J482" s="7">
        <v>-785.3</v>
      </c>
      <c r="K482" s="52">
        <f t="shared" si="151"/>
        <v>67391.49999999999</v>
      </c>
      <c r="L482" s="51"/>
      <c r="M482" s="7"/>
      <c r="N482" s="165">
        <f t="shared" si="152"/>
        <v>67391.49999999999</v>
      </c>
    </row>
    <row r="483" spans="1:14" ht="12.75">
      <c r="A483" s="72" t="s">
        <v>192</v>
      </c>
      <c r="B483" s="63">
        <v>100</v>
      </c>
      <c r="C483" s="7">
        <v>4424</v>
      </c>
      <c r="D483" s="121">
        <v>2374.8</v>
      </c>
      <c r="E483" s="52">
        <f t="shared" si="139"/>
        <v>6898.8</v>
      </c>
      <c r="F483" s="51"/>
      <c r="G483" s="7"/>
      <c r="H483" s="52">
        <f>E483+F483+G483</f>
        <v>6898.8</v>
      </c>
      <c r="I483" s="51">
        <v>-1000</v>
      </c>
      <c r="J483" s="7"/>
      <c r="K483" s="52">
        <f t="shared" si="151"/>
        <v>5898.8</v>
      </c>
      <c r="L483" s="51"/>
      <c r="M483" s="7"/>
      <c r="N483" s="165">
        <f t="shared" si="152"/>
        <v>5898.8</v>
      </c>
    </row>
    <row r="484" spans="1:14" ht="12.75">
      <c r="A484" s="72" t="s">
        <v>185</v>
      </c>
      <c r="B484" s="63"/>
      <c r="C484" s="9"/>
      <c r="D484" s="121"/>
      <c r="E484" s="52">
        <f t="shared" si="139"/>
        <v>0</v>
      </c>
      <c r="F484" s="51"/>
      <c r="G484" s="7">
        <v>60.6</v>
      </c>
      <c r="H484" s="52">
        <f>E484+F484+G484</f>
        <v>60.6</v>
      </c>
      <c r="I484" s="51"/>
      <c r="J484" s="7"/>
      <c r="K484" s="52">
        <f t="shared" si="151"/>
        <v>60.6</v>
      </c>
      <c r="L484" s="51"/>
      <c r="M484" s="7"/>
      <c r="N484" s="165">
        <f t="shared" si="152"/>
        <v>60.6</v>
      </c>
    </row>
    <row r="485" spans="1:14" ht="12.75">
      <c r="A485" s="81" t="s">
        <v>196</v>
      </c>
      <c r="B485" s="136">
        <v>1891.1</v>
      </c>
      <c r="C485" s="10"/>
      <c r="D485" s="137"/>
      <c r="E485" s="56">
        <f t="shared" si="139"/>
        <v>1891.1</v>
      </c>
      <c r="F485" s="55"/>
      <c r="G485" s="10">
        <v>665.1</v>
      </c>
      <c r="H485" s="56">
        <f>SUM(E485:G485)</f>
        <v>2556.2</v>
      </c>
      <c r="I485" s="55"/>
      <c r="J485" s="10"/>
      <c r="K485" s="56">
        <f t="shared" si="151"/>
        <v>2556.2</v>
      </c>
      <c r="L485" s="55"/>
      <c r="M485" s="10"/>
      <c r="N485" s="164">
        <f t="shared" si="152"/>
        <v>2556.2</v>
      </c>
    </row>
    <row r="486" spans="1:14" ht="13.5" thickBot="1">
      <c r="A486" s="87" t="s">
        <v>197</v>
      </c>
      <c r="B486" s="125">
        <f>390+4577</f>
        <v>4967</v>
      </c>
      <c r="C486" s="8"/>
      <c r="D486" s="128"/>
      <c r="E486" s="54">
        <f>SUM(B486:D486)</f>
        <v>4967</v>
      </c>
      <c r="F486" s="53"/>
      <c r="G486" s="8">
        <v>1416.1</v>
      </c>
      <c r="H486" s="54">
        <f>SUM(E486:G486)</f>
        <v>6383.1</v>
      </c>
      <c r="I486" s="53"/>
      <c r="J486" s="8"/>
      <c r="K486" s="172">
        <f>SUM(H486:J486)</f>
        <v>6383.1</v>
      </c>
      <c r="L486" s="53"/>
      <c r="M486" s="8"/>
      <c r="N486" s="66">
        <f>SUM(K486:M486)</f>
        <v>6383.1</v>
      </c>
    </row>
    <row r="487" spans="1:16" ht="15.75" thickBot="1">
      <c r="A487" s="88" t="s">
        <v>198</v>
      </c>
      <c r="B487" s="103">
        <f aca="true" t="shared" si="153" ref="B487:K487">B92+B108+B133+B152+B163+B191+B200+B209+B278+B330+B349+B368+B398+B422+B429+B436+B440+B486</f>
        <v>3200620.0999999996</v>
      </c>
      <c r="C487" s="18">
        <f t="shared" si="153"/>
        <v>5307112.499999999</v>
      </c>
      <c r="D487" s="111">
        <f t="shared" si="153"/>
        <v>33485.5</v>
      </c>
      <c r="E487" s="19">
        <f t="shared" si="153"/>
        <v>8541218.1</v>
      </c>
      <c r="F487" s="141">
        <f t="shared" si="153"/>
        <v>658579.7000000001</v>
      </c>
      <c r="G487" s="18">
        <f t="shared" si="153"/>
        <v>127371.3</v>
      </c>
      <c r="H487" s="19">
        <f t="shared" si="153"/>
        <v>9327169.1</v>
      </c>
      <c r="I487" s="41">
        <f t="shared" si="153"/>
        <v>267191.7</v>
      </c>
      <c r="J487" s="18">
        <f t="shared" si="153"/>
        <v>2442.899999999999</v>
      </c>
      <c r="K487" s="19">
        <f t="shared" si="153"/>
        <v>9596803.700000001</v>
      </c>
      <c r="L487" s="41">
        <f>L92+L108+L133+L152+L163+L191+L200+L209+L278+L330+L349+L368+L398+L422+L429+L436+L440+L486</f>
        <v>222817.2</v>
      </c>
      <c r="M487" s="18">
        <f>M92+M108+M133+M152+M163+M191+M200+M209+M278+M330+M349+M368+M398+M422+M429+M436+M440+M486</f>
        <v>0</v>
      </c>
      <c r="N487" s="152">
        <f>N92+N108+N133+N152+N163+N191+N200+N209+N278+N330+N349+N368+N398+N422+N429+N436+N440+N486</f>
        <v>9819620.9</v>
      </c>
      <c r="P487" s="119"/>
    </row>
    <row r="488" spans="1:14" ht="13.5" thickBot="1">
      <c r="A488" s="89" t="s">
        <v>199</v>
      </c>
      <c r="B488" s="104">
        <v>-4967</v>
      </c>
      <c r="C488" s="20"/>
      <c r="D488" s="112"/>
      <c r="E488" s="21">
        <f>SUM(B488:D488)</f>
        <v>-4967</v>
      </c>
      <c r="F488" s="104"/>
      <c r="G488" s="20"/>
      <c r="H488" s="21">
        <f>SUM(E488:G488)</f>
        <v>-4967</v>
      </c>
      <c r="I488" s="42"/>
      <c r="J488" s="20"/>
      <c r="K488" s="21">
        <f>SUM(H488:J488)</f>
        <v>-4967</v>
      </c>
      <c r="L488" s="42"/>
      <c r="M488" s="20"/>
      <c r="N488" s="162">
        <f>SUM(K488:M488)</f>
        <v>-4967</v>
      </c>
    </row>
    <row r="489" spans="1:14" ht="16.5" thickBot="1">
      <c r="A489" s="90" t="s">
        <v>200</v>
      </c>
      <c r="B489" s="105">
        <f aca="true" t="shared" si="154" ref="B489:K489">B487+B488</f>
        <v>3195653.0999999996</v>
      </c>
      <c r="C489" s="22">
        <f t="shared" si="154"/>
        <v>5307112.499999999</v>
      </c>
      <c r="D489" s="113">
        <f t="shared" si="154"/>
        <v>33485.5</v>
      </c>
      <c r="E489" s="23">
        <f t="shared" si="154"/>
        <v>8536251.1</v>
      </c>
      <c r="F489" s="142">
        <f t="shared" si="154"/>
        <v>658579.7000000001</v>
      </c>
      <c r="G489" s="22">
        <f t="shared" si="154"/>
        <v>127371.3</v>
      </c>
      <c r="H489" s="23">
        <f t="shared" si="154"/>
        <v>9322202.1</v>
      </c>
      <c r="I489" s="43">
        <f t="shared" si="154"/>
        <v>267191.7</v>
      </c>
      <c r="J489" s="22">
        <f t="shared" si="154"/>
        <v>2442.899999999999</v>
      </c>
      <c r="K489" s="23">
        <f t="shared" si="154"/>
        <v>9591836.700000001</v>
      </c>
      <c r="L489" s="43">
        <f>L487+L488</f>
        <v>222817.2</v>
      </c>
      <c r="M489" s="22">
        <f>M487+M488</f>
        <v>0</v>
      </c>
      <c r="N489" s="153">
        <f>N487+N488</f>
        <v>9814653.9</v>
      </c>
    </row>
    <row r="490" spans="1:14" ht="15.75">
      <c r="A490" s="91" t="s">
        <v>38</v>
      </c>
      <c r="B490" s="106"/>
      <c r="C490" s="24"/>
      <c r="D490" s="114"/>
      <c r="E490" s="25"/>
      <c r="F490" s="106"/>
      <c r="G490" s="24"/>
      <c r="H490" s="25"/>
      <c r="I490" s="26"/>
      <c r="J490" s="24"/>
      <c r="K490" s="25"/>
      <c r="L490" s="26"/>
      <c r="M490" s="24"/>
      <c r="N490" s="163"/>
    </row>
    <row r="491" spans="1:14" ht="15.75">
      <c r="A491" s="92" t="s">
        <v>69</v>
      </c>
      <c r="B491" s="107">
        <f aca="true" t="shared" si="155" ref="B491:K491">B93+B109+B134+B153+B164+B192+B201+B210+B279+B331+B350+B369+B399+B423+B430+B437+B442+B486+B488</f>
        <v>2681996.0000000005</v>
      </c>
      <c r="C491" s="107">
        <f t="shared" si="155"/>
        <v>4521116.5</v>
      </c>
      <c r="D491" s="107">
        <f t="shared" si="155"/>
        <v>22643.3</v>
      </c>
      <c r="E491" s="28">
        <f t="shared" si="155"/>
        <v>7225755.8</v>
      </c>
      <c r="F491" s="107">
        <f t="shared" si="155"/>
        <v>527013.6</v>
      </c>
      <c r="G491" s="143">
        <f t="shared" si="155"/>
        <v>91210.6</v>
      </c>
      <c r="H491" s="28">
        <f t="shared" si="155"/>
        <v>7843979.999999999</v>
      </c>
      <c r="I491" s="29">
        <f t="shared" si="155"/>
        <v>310574.29999999993</v>
      </c>
      <c r="J491" s="27">
        <f t="shared" si="155"/>
        <v>-5914.999999999999</v>
      </c>
      <c r="K491" s="28">
        <f t="shared" si="155"/>
        <v>8148639.299999998</v>
      </c>
      <c r="L491" s="29"/>
      <c r="M491" s="27">
        <f>M93+M109+M134+M153+M164+M192+M201+M210+M279+M331+M350+M369+M399+M423+M430+M437+M442+M486+M488</f>
        <v>0</v>
      </c>
      <c r="N491" s="154">
        <f>N93+N109+N134+N153+N164+N192+N201+N210+N279+N331+N350+N369+N399+N423+N430+N437+N442+N486+N488</f>
        <v>8276491.300000001</v>
      </c>
    </row>
    <row r="492" spans="1:14" ht="16.5" thickBot="1">
      <c r="A492" s="78" t="s">
        <v>75</v>
      </c>
      <c r="B492" s="108">
        <f aca="true" t="shared" si="156" ref="B492:K492">B103+B129+B144+B159+B179+B197+B205+B256+B321+B341+B361+B392+B412+B426+B443</f>
        <v>513657.1</v>
      </c>
      <c r="C492" s="30">
        <f t="shared" si="156"/>
        <v>785996</v>
      </c>
      <c r="D492" s="115">
        <f t="shared" si="156"/>
        <v>10842.2</v>
      </c>
      <c r="E492" s="31">
        <f t="shared" si="156"/>
        <v>1310495.2999999998</v>
      </c>
      <c r="F492" s="144">
        <f t="shared" si="156"/>
        <v>131566.09999999998</v>
      </c>
      <c r="G492" s="30">
        <f t="shared" si="156"/>
        <v>36160.7</v>
      </c>
      <c r="H492" s="31">
        <f t="shared" si="156"/>
        <v>1478222.0999999999</v>
      </c>
      <c r="I492" s="32">
        <f t="shared" si="156"/>
        <v>-43382.600000000006</v>
      </c>
      <c r="J492" s="30">
        <f t="shared" si="156"/>
        <v>8357.899999999998</v>
      </c>
      <c r="K492" s="31">
        <f t="shared" si="156"/>
        <v>1443197.4</v>
      </c>
      <c r="L492" s="32">
        <f>L103+L129+L144+L159+L179+L197+L205+L256+L321+L341+L361+L392+L412+L426+L443</f>
        <v>94965.2</v>
      </c>
      <c r="M492" s="30">
        <f>M103+M129+M144+M159+M179+M197+M205+M256+M321+M341+M361+M392+M412+M426+M443</f>
        <v>0</v>
      </c>
      <c r="N492" s="155">
        <f>N103+N129+N144+N159+N179+N197+N205+N256+N321+N341+N361+N392+N412+N426+N443</f>
        <v>1538162.6</v>
      </c>
    </row>
    <row r="493" spans="1:14" ht="15.75">
      <c r="A493" s="91" t="s">
        <v>201</v>
      </c>
      <c r="B493" s="109">
        <f aca="true" t="shared" si="157" ref="B493:K493">SUM(B495:B500)</f>
        <v>-13812.899999999994</v>
      </c>
      <c r="C493" s="33">
        <f t="shared" si="157"/>
        <v>1023777.4000000001</v>
      </c>
      <c r="D493" s="116">
        <f t="shared" si="157"/>
        <v>32765.499999999996</v>
      </c>
      <c r="E493" s="34">
        <f t="shared" si="157"/>
        <v>1042730</v>
      </c>
      <c r="F493" s="145">
        <f t="shared" si="157"/>
        <v>724.7999999999997</v>
      </c>
      <c r="G493" s="33">
        <f t="shared" si="157"/>
        <v>121504.8</v>
      </c>
      <c r="H493" s="34">
        <f t="shared" si="157"/>
        <v>1164959.6</v>
      </c>
      <c r="I493" s="35">
        <f t="shared" si="157"/>
        <v>-68319</v>
      </c>
      <c r="J493" s="33">
        <f t="shared" si="157"/>
        <v>0</v>
      </c>
      <c r="K493" s="34">
        <f t="shared" si="157"/>
        <v>1096640.6</v>
      </c>
      <c r="L493" s="35">
        <f>SUM(L495:L500)</f>
        <v>9436.7</v>
      </c>
      <c r="M493" s="33">
        <f>SUM(M495:M500)</f>
        <v>0</v>
      </c>
      <c r="N493" s="36">
        <f>SUM(N495:N500)</f>
        <v>1106077.3</v>
      </c>
    </row>
    <row r="494" spans="1:14" ht="12.75" customHeight="1">
      <c r="A494" s="93" t="s">
        <v>38</v>
      </c>
      <c r="B494" s="110"/>
      <c r="C494" s="37"/>
      <c r="D494" s="117"/>
      <c r="E494" s="118"/>
      <c r="F494" s="44"/>
      <c r="G494" s="37"/>
      <c r="H494" s="118"/>
      <c r="I494" s="44"/>
      <c r="J494" s="37"/>
      <c r="K494" s="118"/>
      <c r="L494" s="44"/>
      <c r="M494" s="37"/>
      <c r="N494" s="38"/>
    </row>
    <row r="495" spans="1:14" ht="14.25">
      <c r="A495" s="93" t="s">
        <v>202</v>
      </c>
      <c r="B495" s="126">
        <v>86187.1</v>
      </c>
      <c r="C495" s="39">
        <f>37166.3+66469.4</f>
        <v>103635.7</v>
      </c>
      <c r="D495" s="131"/>
      <c r="E495" s="118">
        <f>SUM(B495:D495)</f>
        <v>189822.8</v>
      </c>
      <c r="F495" s="45"/>
      <c r="G495" s="39"/>
      <c r="H495" s="118">
        <f aca="true" t="shared" si="158" ref="H495:H500">SUM(E495:G495)</f>
        <v>189822.8</v>
      </c>
      <c r="I495" s="45"/>
      <c r="J495" s="39"/>
      <c r="K495" s="118">
        <f aca="true" t="shared" si="159" ref="K495:K500">SUM(H495:J495)</f>
        <v>189822.8</v>
      </c>
      <c r="L495" s="45"/>
      <c r="M495" s="39"/>
      <c r="N495" s="38">
        <f aca="true" t="shared" si="160" ref="N495:N500">SUM(K495:M495)</f>
        <v>189822.8</v>
      </c>
    </row>
    <row r="496" spans="1:14" ht="14.25">
      <c r="A496" s="94" t="s">
        <v>214</v>
      </c>
      <c r="B496" s="126">
        <v>-100000</v>
      </c>
      <c r="C496" s="39"/>
      <c r="D496" s="131"/>
      <c r="E496" s="118">
        <f>SUM(B496:D496)</f>
        <v>-100000</v>
      </c>
      <c r="F496" s="45"/>
      <c r="G496" s="39"/>
      <c r="H496" s="118">
        <f t="shared" si="158"/>
        <v>-100000</v>
      </c>
      <c r="I496" s="45"/>
      <c r="J496" s="39"/>
      <c r="K496" s="118">
        <f t="shared" si="159"/>
        <v>-100000</v>
      </c>
      <c r="L496" s="45"/>
      <c r="M496" s="39"/>
      <c r="N496" s="38">
        <f t="shared" si="160"/>
        <v>-100000</v>
      </c>
    </row>
    <row r="497" spans="1:14" ht="14.25">
      <c r="A497" s="94" t="s">
        <v>203</v>
      </c>
      <c r="B497" s="126"/>
      <c r="C497" s="95"/>
      <c r="D497" s="131"/>
      <c r="E497" s="118">
        <f>SUM(B497:D497)</f>
        <v>0</v>
      </c>
      <c r="F497" s="45"/>
      <c r="G497" s="39"/>
      <c r="H497" s="118">
        <f t="shared" si="158"/>
        <v>0</v>
      </c>
      <c r="I497" s="45">
        <v>12483.4</v>
      </c>
      <c r="J497" s="39"/>
      <c r="K497" s="118">
        <f t="shared" si="159"/>
        <v>12483.4</v>
      </c>
      <c r="L497" s="45">
        <f>4084.7+5352</f>
        <v>9436.7</v>
      </c>
      <c r="M497" s="39"/>
      <c r="N497" s="38">
        <f t="shared" si="160"/>
        <v>21920.1</v>
      </c>
    </row>
    <row r="498" spans="1:14" ht="14.25">
      <c r="A498" s="93" t="s">
        <v>204</v>
      </c>
      <c r="B498" s="126"/>
      <c r="C498" s="39"/>
      <c r="D498" s="131"/>
      <c r="E498" s="118">
        <f>SUM(B498:D498)</f>
        <v>0</v>
      </c>
      <c r="F498" s="45">
        <v>-3069.8</v>
      </c>
      <c r="G498" s="39"/>
      <c r="H498" s="118">
        <f t="shared" si="158"/>
        <v>-3069.8</v>
      </c>
      <c r="I498" s="45">
        <f>-60437.7-11585-8291.9-487.8</f>
        <v>-80802.4</v>
      </c>
      <c r="J498" s="39"/>
      <c r="K498" s="118">
        <f t="shared" si="159"/>
        <v>-83872.2</v>
      </c>
      <c r="L498" s="45"/>
      <c r="M498" s="39"/>
      <c r="N498" s="38">
        <f t="shared" si="160"/>
        <v>-83872.2</v>
      </c>
    </row>
    <row r="499" spans="1:14" ht="14.25">
      <c r="A499" s="94" t="s">
        <v>205</v>
      </c>
      <c r="B499" s="126"/>
      <c r="C499" s="39"/>
      <c r="D499" s="131"/>
      <c r="E499" s="118">
        <v>952907.2</v>
      </c>
      <c r="F499" s="45">
        <v>3794.6</v>
      </c>
      <c r="G499" s="39">
        <f>121504.8-1416.1</f>
        <v>120088.7</v>
      </c>
      <c r="H499" s="118">
        <f t="shared" si="158"/>
        <v>1076790.5</v>
      </c>
      <c r="I499" s="45"/>
      <c r="J499" s="39"/>
      <c r="K499" s="118">
        <f t="shared" si="159"/>
        <v>1076790.5</v>
      </c>
      <c r="L499" s="45"/>
      <c r="M499" s="39"/>
      <c r="N499" s="38">
        <f t="shared" si="160"/>
        <v>1076790.5</v>
      </c>
    </row>
    <row r="500" spans="1:14" ht="16.5" thickBot="1">
      <c r="A500" s="147" t="s">
        <v>299</v>
      </c>
      <c r="B500" s="127"/>
      <c r="C500" s="40">
        <f>3103.8+14.8+27.5+978.2+223.5+257.8+2136.9+18144.2+1867.4+8352.2+2345.7+16014.5+2501.7+13120.1+103675.9+5000+4301.8+390.6+350.2+22596.2+515.7+35547.2+10680.5+4437.7+363012.6+28725.9+22792.5+4797.4+212126+4130.3+3699.9+24192.8+61.4+18.8</f>
        <v>920141.7000000002</v>
      </c>
      <c r="D500" s="132">
        <f>4116.1+24810.1+3839.3</f>
        <v>32765.499999999996</v>
      </c>
      <c r="E500" s="134"/>
      <c r="F500" s="140"/>
      <c r="G500" s="40">
        <v>1416.1</v>
      </c>
      <c r="H500" s="134">
        <f t="shared" si="158"/>
        <v>1416.1</v>
      </c>
      <c r="I500" s="140">
        <v>0</v>
      </c>
      <c r="J500" s="40">
        <v>0</v>
      </c>
      <c r="K500" s="134">
        <f t="shared" si="159"/>
        <v>1416.1</v>
      </c>
      <c r="L500" s="140"/>
      <c r="M500" s="40"/>
      <c r="N500" s="151">
        <f t="shared" si="160"/>
        <v>1416.1</v>
      </c>
    </row>
    <row r="501" spans="2:14" ht="12.75" hidden="1">
      <c r="B501" s="135">
        <f aca="true" t="shared" si="161" ref="B501:N501">B90+B493-B489</f>
        <v>0</v>
      </c>
      <c r="C501" s="135">
        <f t="shared" si="161"/>
        <v>0</v>
      </c>
      <c r="D501" s="135">
        <f t="shared" si="161"/>
        <v>0</v>
      </c>
      <c r="E501" s="135">
        <f t="shared" si="161"/>
        <v>0</v>
      </c>
      <c r="F501" s="135">
        <f t="shared" si="161"/>
        <v>0</v>
      </c>
      <c r="G501" s="135">
        <f t="shared" si="161"/>
        <v>0</v>
      </c>
      <c r="H501" s="135">
        <f t="shared" si="161"/>
        <v>0</v>
      </c>
      <c r="I501" s="135">
        <f t="shared" si="161"/>
        <v>0</v>
      </c>
      <c r="J501" s="135">
        <f t="shared" si="161"/>
        <v>0</v>
      </c>
      <c r="K501" s="135">
        <f t="shared" si="161"/>
        <v>0</v>
      </c>
      <c r="L501" s="135">
        <f t="shared" si="161"/>
        <v>0</v>
      </c>
      <c r="M501" s="135">
        <f t="shared" si="161"/>
        <v>0</v>
      </c>
      <c r="N501" s="135">
        <f t="shared" si="161"/>
        <v>0</v>
      </c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.1968503937007874" top="0.7874015748031497" bottom="0.5118110236220472" header="0.5118110236220472" footer="0.11811023622047245"/>
  <pageSetup horizontalDpi="600" verticalDpi="600" orientation="portrait" paperSize="9" scale="82" r:id="rId1"/>
  <headerFooter alignWithMargins="0">
    <oddFooter>&amp;CStránka &amp;P</oddFooter>
  </headerFooter>
  <rowBreaks count="5" manualBreakCount="5">
    <brk id="90" max="13" man="1"/>
    <brk id="168" max="255" man="1"/>
    <brk id="255" max="255" man="1"/>
    <brk id="348" max="255" man="1"/>
    <brk id="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2011-11-14T11:49:57Z</cp:lastPrinted>
  <dcterms:created xsi:type="dcterms:W3CDTF">2009-01-05T12:05:07Z</dcterms:created>
  <dcterms:modified xsi:type="dcterms:W3CDTF">2011-12-02T09:54:50Z</dcterms:modified>
  <cp:category/>
  <cp:version/>
  <cp:contentType/>
  <cp:contentStatus/>
</cp:coreProperties>
</file>