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0935" activeTab="0"/>
  </bookViews>
  <sheets>
    <sheet name="2. ZR" sheetId="1" r:id="rId1"/>
  </sheets>
  <definedNames>
    <definedName name="_xlnm.Print_Titles" localSheetId="0">'2. ZR'!$8:$9</definedName>
    <definedName name="_xlnm.Print_Area" localSheetId="0">'2. ZR'!$A$1:$I$513</definedName>
    <definedName name="Z_39FD50E0_9911_4D32_8842_5A58F13D310F_.wvu.Cols" localSheetId="0" hidden="1">'2. ZR'!$D:$K,'2. ZR'!$N:$N,'2. ZR'!#REF!</definedName>
    <definedName name="Z_39FD50E0_9911_4D32_8842_5A58F13D310F_.wvu.PrintTitles" localSheetId="0" hidden="1">'2. ZR'!$8:$9</definedName>
    <definedName name="Z_39FD50E0_9911_4D32_8842_5A58F13D310F_.wvu.Rows" localSheetId="0" hidden="1">'2. ZR'!#REF!</definedName>
  </definedNames>
  <calcPr fullCalcOnLoad="1"/>
</workbook>
</file>

<file path=xl/sharedStrings.xml><?xml version="1.0" encoding="utf-8"?>
<sst xmlns="http://schemas.openxmlformats.org/spreadsheetml/2006/main" count="552" uniqueCount="362">
  <si>
    <t>ROZPOČET KRÁLOVÉHRADECKÉHO KRAJE</t>
  </si>
  <si>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</si>
  <si>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</si>
  <si>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</si>
  <si>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</si>
  <si>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</si>
  <si>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</si>
  <si>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</si>
  <si>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</si>
  <si>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</si>
  <si>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</si>
  <si>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</si>
  <si>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</si>
  <si>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</si>
  <si>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</si>
  <si>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</si>
  <si>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</si>
  <si>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</si>
  <si>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</si>
  <si>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daňové příjmy</t>
  </si>
  <si>
    <t>z toho:</t>
  </si>
  <si>
    <t>daň z příjmů právnických osob za kraje</t>
  </si>
  <si>
    <t>nedaňové příjmy</t>
  </si>
  <si>
    <t xml:space="preserve">v tom: </t>
  </si>
  <si>
    <t>přijaté úroky</t>
  </si>
  <si>
    <t>splátky půjčených prostředků</t>
  </si>
  <si>
    <t>splátky půjčených prostředků od obcí</t>
  </si>
  <si>
    <t>vratka návratné finanční výpomoci</t>
  </si>
  <si>
    <t xml:space="preserve">platby za odebr. mn.podzemní vody </t>
  </si>
  <si>
    <t>nedaňové příjmy odvětví školství</t>
  </si>
  <si>
    <t>nedaňové příjmy odv.evropské integrace</t>
  </si>
  <si>
    <t>odvody PO</t>
  </si>
  <si>
    <t xml:space="preserve">    v tom odvětví: školství</t>
  </si>
  <si>
    <t xml:space="preserve">                        zdravotnictví</t>
  </si>
  <si>
    <t>kapitálové příjmy</t>
  </si>
  <si>
    <t xml:space="preserve">  odvětví školství</t>
  </si>
  <si>
    <t xml:space="preserve">  odvětví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</si>
  <si>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</si>
  <si>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</si>
  <si>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</si>
  <si>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</si>
  <si>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</si>
  <si>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</si>
  <si>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</si>
  <si>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</si>
  <si>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</si>
  <si>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</si>
  <si>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</si>
  <si>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</si>
  <si>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</si>
  <si>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</si>
  <si>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</si>
  <si>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 xml:space="preserve">  od obcí</t>
  </si>
  <si>
    <t>neinvestiční transfery ze SR prostř.čerp.účtů</t>
  </si>
  <si>
    <t xml:space="preserve">  odvětví evropské integrace</t>
  </si>
  <si>
    <t xml:space="preserve">  odvětví kultury</t>
  </si>
  <si>
    <t xml:space="preserve">  odvětví správy majetku kraje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</si>
  <si>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</si>
  <si>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</si>
  <si>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</si>
  <si>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</si>
  <si>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</si>
  <si>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 xml:space="preserve">  ze zvl.účtu MF</t>
  </si>
  <si>
    <t>investiční transfery ze SR prostř.čerp.účtů</t>
  </si>
  <si>
    <t xml:space="preserve">  odvětví sociálních věcí</t>
  </si>
  <si>
    <t xml:space="preserve">příjmy v rámci FV </t>
  </si>
  <si>
    <t>Příjmy celkem</t>
  </si>
  <si>
    <t>VÝDAJE</t>
  </si>
  <si>
    <t>kap. 18 - zastupitelstvo kraje</t>
  </si>
  <si>
    <t>běžné výdaje</t>
  </si>
  <si>
    <t>povinné pojistné placené zaměstnavatelem</t>
  </si>
  <si>
    <t>pohoštění a dary</t>
  </si>
  <si>
    <t>ostatní běžné výdaje</t>
  </si>
  <si>
    <t>řešení havarijních situací</t>
  </si>
  <si>
    <t>ostatní příspěvky a dary</t>
  </si>
  <si>
    <t>kapitálové výdaje</t>
  </si>
  <si>
    <t>ostatní kapitálové výdaje</t>
  </si>
  <si>
    <t>kap. 19 - činnost krajského úřadu</t>
  </si>
  <si>
    <t>pohoštění</t>
  </si>
  <si>
    <t>krizové plánování</t>
  </si>
  <si>
    <t>pronájem a nákl.na detaš.pracoviště</t>
  </si>
  <si>
    <t>pronájem služeb a prostor v RC NP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</si>
  <si>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</si>
  <si>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</si>
  <si>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</si>
  <si>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</si>
  <si>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</si>
  <si>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</si>
  <si>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</si>
  <si>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náhr.škod způs.zvl.chráněnými živočichy - SR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</si>
  <si>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</si>
  <si>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</si>
  <si>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</si>
  <si>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</si>
  <si>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</si>
  <si>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</si>
  <si>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</si>
  <si>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dopravní územní obslužnost:</t>
  </si>
  <si>
    <t>v tom: autobusová doprava</t>
  </si>
  <si>
    <t xml:space="preserve">          drážní doprava</t>
  </si>
  <si>
    <t>příspěvky PO na provoz</t>
  </si>
  <si>
    <t>neinvestiční transfer s.r.o. OREDO</t>
  </si>
  <si>
    <t>obnova silničního majetku - SFDI - SR</t>
  </si>
  <si>
    <t xml:space="preserve">kofinancování a předfinancování </t>
  </si>
  <si>
    <t>kofinancování a předfinancování</t>
  </si>
  <si>
    <t>kap. 12 - správa majetku kraje</t>
  </si>
  <si>
    <t>soustředěné pojištění majetku kraje</t>
  </si>
  <si>
    <t>neinv.transfer Regionální radě regionu soudržnosti SV</t>
  </si>
  <si>
    <t>kap. 14 - školství</t>
  </si>
  <si>
    <t>přímé náklady na vzdělávání - SR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</si>
  <si>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</si>
  <si>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</si>
  <si>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</si>
  <si>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preventivní programy - SR</t>
  </si>
  <si>
    <t>zpřístupnění DVPP ZŠ 1.st. - SR</t>
  </si>
  <si>
    <t>podp.výuky méně vyuč.cizích jazyků - SR</t>
  </si>
  <si>
    <t>kompenzační pomůcky - SR</t>
  </si>
  <si>
    <t>neinvestiční dotace obcím</t>
  </si>
  <si>
    <t>investiční transfery PO</t>
  </si>
  <si>
    <t xml:space="preserve">investiční půjčené prostředky obcím   </t>
  </si>
  <si>
    <t>kap. 15 - zdravotnictví</t>
  </si>
  <si>
    <t>zabránění vzniku, rozvoje a šíření TBC - SR</t>
  </si>
  <si>
    <t>protidrogová politika-kont.místo na malém městě-SR</t>
  </si>
  <si>
    <t>likvidace nepoužitelných léčiv - SR</t>
  </si>
  <si>
    <t>kap. 16 - kultura</t>
  </si>
  <si>
    <t>kulturní aktivity - SR</t>
  </si>
  <si>
    <t>projekty v rámci VISK - SR</t>
  </si>
  <si>
    <t>kap. 28 - sociální věci</t>
  </si>
  <si>
    <t xml:space="preserve">příspěvky PO na provoz </t>
  </si>
  <si>
    <t>zařízení pro děti vyžadující okamžitou pomoc - SR</t>
  </si>
  <si>
    <t>vyhledávání budov se zvýš.výskytem radonu - SR</t>
  </si>
  <si>
    <t>protiradonová opatření - SR</t>
  </si>
  <si>
    <t>výdaje jednotek sborů dobrovolných hasičů obcí-SR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</si>
  <si>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</si>
  <si>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</si>
  <si>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</si>
  <si>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</si>
  <si>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</si>
  <si>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</si>
  <si>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</si>
  <si>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</si>
  <si>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</si>
  <si>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 xml:space="preserve">činnost krajského úřadu 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</si>
  <si>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</si>
  <si>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</si>
  <si>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</si>
  <si>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</si>
  <si>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</si>
  <si>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</si>
  <si>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</si>
  <si>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</si>
  <si>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</si>
  <si>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</si>
  <si>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</si>
  <si>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</si>
  <si>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</si>
  <si>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</si>
  <si>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</si>
  <si>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</si>
  <si>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</si>
  <si>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</si>
  <si>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</si>
  <si>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</si>
  <si>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</si>
  <si>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</si>
  <si>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</si>
  <si>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</si>
  <si>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</si>
  <si>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Financování</t>
  </si>
  <si>
    <t>přijaté úvěry</t>
  </si>
  <si>
    <t>přijaté půjčky (SFDI)</t>
  </si>
  <si>
    <t>splátky půjček (SFDI)</t>
  </si>
  <si>
    <t>zapojení výsledku hospodaření</t>
  </si>
  <si>
    <t>neinvestiční dotace městu Trutnov na činnost muzea</t>
  </si>
  <si>
    <t xml:space="preserve">            běžné výdaje odvětví</t>
  </si>
  <si>
    <t>řešení mezir.snížení žáků a spec.problémů reg.šk.-SR</t>
  </si>
  <si>
    <t>Příloha č. 1</t>
  </si>
  <si>
    <t>odměny vč. refundací a náhrad mezd v době nemoci</t>
  </si>
  <si>
    <t>platy zam.a ost.pl.za prov.práci vč.náhr.mezd v době nem.</t>
  </si>
  <si>
    <t>splátky úvěru</t>
  </si>
  <si>
    <t>GG VK 3.2 - Podpora nabídky dalšího vzdělávání - SR</t>
  </si>
  <si>
    <t>Projekt technické pomoci OPPS ČR-PR 2007-2013 - SR</t>
  </si>
  <si>
    <t>podpora výuky cizích jazyků - SR</t>
  </si>
  <si>
    <t xml:space="preserve">  z MDO</t>
  </si>
  <si>
    <t>úhrada ztráty ve veřejné železniční os.dopravě - SR</t>
  </si>
  <si>
    <t>příjmy z pronájmu majetku - odv.zdravotnictví</t>
  </si>
  <si>
    <t>kap. 49 - Regionální inovační fond KHK</t>
  </si>
  <si>
    <t>OPVK 1.4 - zlepšení podm.pro vzděl.na ZŠ - SR</t>
  </si>
  <si>
    <t xml:space="preserve">GG1.3.OPVK-Další vzděl.prac.škol a zař. - SR </t>
  </si>
  <si>
    <t xml:space="preserve">GG 1.1.OPVK-Zvyšování kvality ve vzděl.- SR </t>
  </si>
  <si>
    <t>OP LZZ - vzdělávání v eGON centrech krajů - SR</t>
  </si>
  <si>
    <t>OPVK - cizí jazyky v podm.Společ.evrop.refer.rámce-SR</t>
  </si>
  <si>
    <t>nedaňové příjmy odvětví zdravotnictví</t>
  </si>
  <si>
    <t>OPVK-spolupr.VOŠ,VŠ a zaměst.při modern.vzděl.progr.-SR</t>
  </si>
  <si>
    <t xml:space="preserve">GG 1.2.OPVK-Rovné příl.dětí a ž.se sp.potř. - SR </t>
  </si>
  <si>
    <t xml:space="preserve">podpora vzděl.národ.menšin a multikult.výchovy - SR </t>
  </si>
  <si>
    <t>školní vybavení pro žáky 1.ročníku zákl.vzděl. - SR</t>
  </si>
  <si>
    <t>krajský program prevence kriminality - SR</t>
  </si>
  <si>
    <t xml:space="preserve">OP VK 5. 2. - Publicita a informovanost - SR </t>
  </si>
  <si>
    <t xml:space="preserve">OP VK 5.3. - Podpora tvorby a přípravy projektů - SR </t>
  </si>
  <si>
    <t xml:space="preserve">neinvestiční půjčené prostředky </t>
  </si>
  <si>
    <t>příjmy z pronájmu majetku -  odvětví doprava</t>
  </si>
  <si>
    <t>nedaňové příjmy odvětví činnost krajského úřadu</t>
  </si>
  <si>
    <t>nedaňové příjmy odvětví správa majetku kraje</t>
  </si>
  <si>
    <t>nedaňové příjmy odvětví doprava</t>
  </si>
  <si>
    <t>nedaňové příjmy odvětví životní prostředí</t>
  </si>
  <si>
    <t>nedaňové příjmy odvětví soc.věci</t>
  </si>
  <si>
    <t xml:space="preserve">                        doprava</t>
  </si>
  <si>
    <t xml:space="preserve">                        kultura</t>
  </si>
  <si>
    <t xml:space="preserve">                        soc.věci</t>
  </si>
  <si>
    <t xml:space="preserve">  odvětví doprava</t>
  </si>
  <si>
    <t xml:space="preserve">  odvětví soc.věci</t>
  </si>
  <si>
    <t>zapojení zůstatku sociálního fondu z min.let</t>
  </si>
  <si>
    <t>zajiš.podm.zákl.vzděl.nezlet.azyl.na území ČR - SR</t>
  </si>
  <si>
    <t>část.kompenz.výdajů vzniklých při real.společ.maturit-SR</t>
  </si>
  <si>
    <t>kontaktní centrum a terénní služby na malém městě-SR</t>
  </si>
  <si>
    <t xml:space="preserve">  z MŽP</t>
  </si>
  <si>
    <t xml:space="preserve">  z SFŽP</t>
  </si>
  <si>
    <t>LABEL - transfery ze zahraničí</t>
  </si>
  <si>
    <t>OP LZZ - zvýš.kvality řízení v úřadech úz.veř.spr.-SR</t>
  </si>
  <si>
    <t xml:space="preserve">ROP silnice a mosty - vratka dotace RRRS SV </t>
  </si>
  <si>
    <t>Dobrovolnictví na Náchodsku - SR</t>
  </si>
  <si>
    <t>neinvestiční dotace Krajskému ředitelství policie KHK</t>
  </si>
  <si>
    <t>neinvestiční dar Krajskému ředitelství policie KHK</t>
  </si>
  <si>
    <t>investiční dotace Krajskému ředitelství policie KHK</t>
  </si>
  <si>
    <t>nedaňové příjmy FRR - odvětví školství</t>
  </si>
  <si>
    <t>inkluz.vzděl.a vzděl.žáků se sociokult.znevýhodněním - SR</t>
  </si>
  <si>
    <t>ukončování střed.vzděl.mat.zk.v podzimním zkuš.obd. - SR</t>
  </si>
  <si>
    <t>pokusné ověř. inter.a inkluz.modelu škol pro spec.ped.a psych.-SR</t>
  </si>
  <si>
    <t xml:space="preserve">  od krajů</t>
  </si>
  <si>
    <t>neinvestiční půjčené prostředky obcím</t>
  </si>
  <si>
    <t>5. změna</t>
  </si>
  <si>
    <t>po 5. změně</t>
  </si>
  <si>
    <t>refundace výdajů spojených s výkupy pozemků - SR</t>
  </si>
  <si>
    <t>dotace na sociální služby</t>
  </si>
  <si>
    <t>životní prostředí a zemědělství</t>
  </si>
  <si>
    <t xml:space="preserve">  v tom: investiční transfery a.s.</t>
  </si>
  <si>
    <t xml:space="preserve">investiční transfery obcím </t>
  </si>
  <si>
    <t>OPVK 1.5 - zlepšení podm.pro vzděl.na SŠ - SR</t>
  </si>
  <si>
    <t>excelence středních škol - SR</t>
  </si>
  <si>
    <t>kap. 21 - investice a evropské projekty</t>
  </si>
  <si>
    <t>kap. 48 - Dotační fond KHK</t>
  </si>
  <si>
    <t xml:space="preserve">neinvestiční transfery a.s. ZOO Dvůr Králové n. L. </t>
  </si>
  <si>
    <t>kap. 13 - evropská integrace a globální granty</t>
  </si>
  <si>
    <t>kapitálové výdaje - doprava</t>
  </si>
  <si>
    <t>průmyslová zóna Vrchlabí</t>
  </si>
  <si>
    <t xml:space="preserve">kofinancování a předfinancování: </t>
  </si>
  <si>
    <t xml:space="preserve">       v tom: evropská integrace</t>
  </si>
  <si>
    <t xml:space="preserve">                 doprava</t>
  </si>
  <si>
    <t xml:space="preserve">                 školství</t>
  </si>
  <si>
    <t xml:space="preserve">                 sociální věci</t>
  </si>
  <si>
    <t>NA ROK 2014</t>
  </si>
  <si>
    <t xml:space="preserve">rezerva - a. s. </t>
  </si>
  <si>
    <t>energetika</t>
  </si>
  <si>
    <t>EPC</t>
  </si>
  <si>
    <t>kapitál.výd. - energetika</t>
  </si>
  <si>
    <t>Modernizace a dostavba ON Náchod ( úvěr 50 mil.)</t>
  </si>
  <si>
    <t xml:space="preserve">                 činnost KÚ</t>
  </si>
  <si>
    <t xml:space="preserve">                 kultura</t>
  </si>
  <si>
    <t xml:space="preserve">                 org. 9999, org. 7777</t>
  </si>
  <si>
    <t xml:space="preserve">             org. 7777</t>
  </si>
  <si>
    <t>SU AU</t>
  </si>
  <si>
    <t>ÚZ</t>
  </si>
  <si>
    <t>ÚZ 70</t>
  </si>
  <si>
    <t>org. 21</t>
  </si>
  <si>
    <t>org. 60</t>
  </si>
  <si>
    <t>OP VK 5.1. - Technická pomoc - administrace 2 - SR 2013</t>
  </si>
  <si>
    <t xml:space="preserve">OP VK 5.1. - Technická pomoc - administrace 2 - SR </t>
  </si>
  <si>
    <t>asistenti ped.v soukromých a círk.spec.školách - SR</t>
  </si>
  <si>
    <t>asistenti ped.pro děti,žáky a stud.se sociál.znevýh. - SR</t>
  </si>
  <si>
    <t>podpora soc.znevýh.romských žáků SŠ a stud.VOŠ - SR</t>
  </si>
  <si>
    <t>OP LZZ - zvýš.kvality řízení v úřadech úz.veř.spr.-SR 2013</t>
  </si>
  <si>
    <t>OP LZZ - vzdělávání v eGON centrech krajů - SR 2013</t>
  </si>
  <si>
    <t>OP LZZ - rozvoj lektorského týmu - SR 2013</t>
  </si>
  <si>
    <t xml:space="preserve">OP LZZ - rozvoj lektorského týmu - SR </t>
  </si>
  <si>
    <t xml:space="preserve">             školství</t>
  </si>
  <si>
    <t xml:space="preserve">             evropská integrace - ostatní</t>
  </si>
  <si>
    <t xml:space="preserve">  z toho: CIRI, PO</t>
  </si>
  <si>
    <t>průmyslová zóna Kvasiny</t>
  </si>
  <si>
    <t>Digitální planetárium - SR 2013</t>
  </si>
  <si>
    <t>OJ 62</t>
  </si>
  <si>
    <t>OJ 61</t>
  </si>
  <si>
    <t>OP LZZ Rozvoj dostup.a kvality soc.sl.v KHK III - SR 2013</t>
  </si>
  <si>
    <t>OP LZZ Rozvoj dostup.a kvality soc.sl.v KHK IV - SR 2013</t>
  </si>
  <si>
    <t>OP LZZ Služby soc.prevence v KHK II - SR 2013</t>
  </si>
  <si>
    <t>OP LZZ Podpora soc.integr.obyv.vylouč.lok.v KHK III - SR r.2013</t>
  </si>
  <si>
    <t>Česko-slovenská výměna zkuš.v obl.práce a soc.věcí-SR 2013</t>
  </si>
  <si>
    <t>1400+0100</t>
  </si>
  <si>
    <t>příspěvek PO na provoz - CIRI</t>
  </si>
  <si>
    <t xml:space="preserve">                                   - CIRI - centrum sdíl.služeb</t>
  </si>
  <si>
    <t>investiční transfer - CIRI - centrum sdíl.sl.</t>
  </si>
  <si>
    <t xml:space="preserve">             kultura</t>
  </si>
  <si>
    <t>GG VK 3.2 - Podpora nabídky dalšího vzdělávání - SR 2013</t>
  </si>
  <si>
    <t>Projekt technické pomoci OPPS ČR-PR 2007-2013 - SR 2013</t>
  </si>
  <si>
    <t>OP VK 5. 2. - Publicita a informovanost - SR 2013</t>
  </si>
  <si>
    <t>OP VK 5.3. - Podpora tvorby a přípravy projektů - SR 2013</t>
  </si>
  <si>
    <t>GG 1.1.OPVK-Zvyšování kvality ve vzděl.- SR  2013</t>
  </si>
  <si>
    <t>2GG 1.1.OPVK-Zvyšování kvality ve vzděl.II. - SR 2013</t>
  </si>
  <si>
    <t>GG 1.2.OPVK-Rovné příl.dětí a ž.se sp.potř.-SR 2013</t>
  </si>
  <si>
    <t>2GG 1.2.OPVK-Rovné příl.dětí a ž.se sp.potř. II. - SR 2013</t>
  </si>
  <si>
    <t>GG1.3.OPVK-Další vzděl.prac.škol a zař. - SR 2013</t>
  </si>
  <si>
    <t>2GG1.3.OPVK-Další vzděl.prac.škol a zař.  II. - SR 2013</t>
  </si>
  <si>
    <t>GG 1.1.OPVK-Zvyšování kvality ve vzdělávání - SR r.2013</t>
  </si>
  <si>
    <t>GG 1.2.OPVK-Rovné přílež.dětí a ž.se sp.potř.- SR r.2013</t>
  </si>
  <si>
    <t>GG1.3.OPVK-Další vzděl.prac.škol a zař. - SR r.2013</t>
  </si>
  <si>
    <t>Strategie integr.spolupr.česko-polského příhr.- SR  2013</t>
  </si>
  <si>
    <t>Strategie integr.spolupr.česko-polského příhr.II - SR  2013</t>
  </si>
  <si>
    <t>OP VK - Podpora přírod.a techn. vzdělávání v KHK - SR 2013</t>
  </si>
  <si>
    <t>org.57</t>
  </si>
  <si>
    <t>kap. 39 - regionální rozvoj a cestovní ruch</t>
  </si>
  <si>
    <t xml:space="preserve">OP LZZ Rozvoj dostup.a kvality soc.sl.v KHK IV - SR </t>
  </si>
  <si>
    <t>OP LZZ Podpora činnosti orgánu soc.právní ochrany dětí - SR</t>
  </si>
  <si>
    <t>půjčené prostředky obcím na předfinancování</t>
  </si>
  <si>
    <t>Požární stanice a ZZS Vrchlabí</t>
  </si>
  <si>
    <t xml:space="preserve">             sociální věci</t>
  </si>
  <si>
    <t xml:space="preserve">                 zdravotnictví</t>
  </si>
  <si>
    <t xml:space="preserve">             zdravotnictví</t>
  </si>
  <si>
    <t>OP LZZ Příprava transf. Domova na Stříbrném vrchu - SR</t>
  </si>
  <si>
    <t>OP LZZ Příprava transformace ÚSP Kvasiny - SR</t>
  </si>
  <si>
    <t xml:space="preserve">OP LZZ Rozvoj dostup.a kvality soc.sl.v KHK III - SR </t>
  </si>
  <si>
    <t xml:space="preserve">                 CIRI, PO</t>
  </si>
  <si>
    <t xml:space="preserve">                 org. 8888</t>
  </si>
  <si>
    <t xml:space="preserve">  v tom: životní prostředí a zemědělství</t>
  </si>
  <si>
    <t xml:space="preserve">            vrcholový sport</t>
  </si>
  <si>
    <t xml:space="preserve">            sport a tělovýchova</t>
  </si>
  <si>
    <t xml:space="preserve">            volnočasové aktivity</t>
  </si>
  <si>
    <t xml:space="preserve">            cestovní ruch</t>
  </si>
  <si>
    <t xml:space="preserve">            školství</t>
  </si>
  <si>
    <t xml:space="preserve">            kultura</t>
  </si>
  <si>
    <t xml:space="preserve">            regionální rozvoj</t>
  </si>
  <si>
    <t xml:space="preserve">            program obnovy venkova</t>
  </si>
  <si>
    <t>HZS KHK - Rekonstr.stadionu pro výcvik a pož.sport v HK</t>
  </si>
  <si>
    <t xml:space="preserve">ostatní kapitálové výdaje </t>
  </si>
  <si>
    <t>rezerva (ve schv.rozp.25 mil. Kč blokováno pro zdravotnictví)</t>
  </si>
  <si>
    <t xml:space="preserve">           program obnovy venkova</t>
  </si>
  <si>
    <t xml:space="preserve">  v tom: volnočasové aktivity</t>
  </si>
  <si>
    <t xml:space="preserve">OP LZZ Služby soc.prevence v KHK II - SR </t>
  </si>
  <si>
    <t xml:space="preserve">OP LZZ Podpora soc.integr.obyv.vylouč.lok.v KHK III - SR </t>
  </si>
  <si>
    <t xml:space="preserve">Digitální planetárium - SR </t>
  </si>
  <si>
    <t>Centrum krajky - RRRS SV</t>
  </si>
  <si>
    <t>odstraňování škod po povodních v červnu 2013 - SFDI - SR</t>
  </si>
  <si>
    <t>OPVK - E-learning a kreditní systém do VOŠ - SR</t>
  </si>
  <si>
    <t>podpora implem.etické výchovy do vzděl.v ZŠ a G - SR</t>
  </si>
  <si>
    <t>podpora logopedické prevence v předš.vzděl. - SR</t>
  </si>
  <si>
    <t xml:space="preserve">2GG 1.2.OPVK-Rovné příl.dětí a ž.se sp.potř. II. - SR </t>
  </si>
  <si>
    <t xml:space="preserve">2GG1.3.OPVK-Další vzděl.prac.škol a zař.  II. - SR </t>
  </si>
  <si>
    <t xml:space="preserve">2GG 1.1.OPVK-Zvyšování kvality ve vzděl.II. - SR </t>
  </si>
  <si>
    <t xml:space="preserve">OP VK - Podpora přírod.a techn. vzdělávání v KHK - SR </t>
  </si>
  <si>
    <t>neinvestiční půjčené prostředky</t>
  </si>
  <si>
    <t xml:space="preserve">Česko-slovenská výměna zkuš.v obl.práce a soc.věcí-SR </t>
  </si>
  <si>
    <t>podpora odborného vzdělávání v roce 2014 - SR</t>
  </si>
  <si>
    <t>bezpl.výuka přizpůs.potřebám žáků - cizinců třetích zemí - SR</t>
  </si>
  <si>
    <t>poplatky</t>
  </si>
  <si>
    <t>nedaňové příjmy odvětví zastupitelstvo kraje</t>
  </si>
  <si>
    <t>projekt Operační středisko ZZS KHK - SR</t>
  </si>
  <si>
    <t>OP LZZ Komplex.vzděl.prac. DD Albrechtice n.O. - SR</t>
  </si>
  <si>
    <t xml:space="preserve">  z MZV</t>
  </si>
  <si>
    <t>přenos zkušeností s čerpáním prostředků EU-Banát - SR</t>
  </si>
  <si>
    <t>nedaňové příjmy odvětví regionální rozvoj a cest.ruch</t>
  </si>
  <si>
    <t xml:space="preserve">                        investice</t>
  </si>
  <si>
    <t xml:space="preserve">                 správa majetku kraje</t>
  </si>
  <si>
    <t>volby do Evropského parlamentu - SR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</si>
</sst>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#,##0.0;[Red]#,##0.0"/>
    <numFmt numFmtId="173" formatCode="#,##0.0_ ;[Red]\-#,##0.0\ "/>
    <numFmt numFmtId="174" formatCode="#,##0.00_ ;\-#,##0.00\ 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>
        <color indexed="63"/>
      </left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medium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7">
    <xf numFmtId="3" fontId="0" fillId="0" borderId="0" xfId="0" applyAlignment="1">
      <alignment/>
    </xf>
    <xf numFmtId="165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10" xfId="38" applyNumberFormat="1" applyFont="1" applyBorder="1" applyAlignment="1">
      <alignment horizontal="center"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Border="1" applyAlignment="1">
      <alignment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Fill="1" applyBorder="1" applyAlignment="1">
      <alignment/>
    </xf>
    <xf numFmtId="166" fontId="0" fillId="0" borderId="11" xfId="38" applyNumberFormat="1" applyFont="1" applyBorder="1" applyAlignment="1">
      <alignment/>
    </xf>
    <xf numFmtId="166" fontId="0" fillId="0" borderId="12" xfId="38" applyNumberFormat="1" applyFont="1" applyBorder="1" applyAlignment="1">
      <alignment/>
    </xf>
    <xf numFmtId="166" fontId="0" fillId="0" borderId="13" xfId="38" applyNumberFormat="1" applyFont="1" applyBorder="1" applyAlignment="1">
      <alignment/>
    </xf>
    <xf numFmtId="166" fontId="4" fillId="0" borderId="14" xfId="38" applyNumberFormat="1" applyFont="1" applyBorder="1" applyAlignment="1">
      <alignment/>
    </xf>
    <xf numFmtId="166" fontId="4" fillId="0" borderId="15" xfId="38" applyNumberFormat="1" applyFont="1" applyBorder="1" applyAlignment="1">
      <alignment vertical="center"/>
    </xf>
    <xf numFmtId="166" fontId="4" fillId="0" borderId="16" xfId="38" applyNumberFormat="1" applyFont="1" applyBorder="1" applyAlignment="1">
      <alignment vertical="center"/>
    </xf>
    <xf numFmtId="166" fontId="3" fillId="0" borderId="17" xfId="38" applyNumberFormat="1" applyFont="1" applyBorder="1" applyAlignment="1">
      <alignment vertical="center"/>
    </xf>
    <xf numFmtId="166" fontId="3" fillId="0" borderId="18" xfId="38" applyNumberFormat="1" applyFont="1" applyBorder="1" applyAlignment="1">
      <alignment vertical="center"/>
    </xf>
    <xf numFmtId="166" fontId="3" fillId="0" borderId="19" xfId="38" applyNumberFormat="1" applyFont="1" applyBorder="1" applyAlignment="1">
      <alignment vertical="center"/>
    </xf>
    <xf numFmtId="166" fontId="2" fillId="0" borderId="10" xfId="38" applyNumberFormat="1" applyFont="1" applyBorder="1" applyAlignment="1">
      <alignment vertical="center"/>
    </xf>
    <xf numFmtId="166" fontId="8" fillId="0" borderId="10" xfId="38" applyNumberFormat="1" applyFont="1" applyBorder="1" applyAlignment="1">
      <alignment vertical="center"/>
    </xf>
    <xf numFmtId="166" fontId="8" fillId="0" borderId="20" xfId="38" applyNumberFormat="1" applyFont="1" applyBorder="1" applyAlignment="1">
      <alignment vertical="center"/>
    </xf>
    <xf numFmtId="166" fontId="4" fillId="0" borderId="21" xfId="38" applyNumberFormat="1" applyFont="1" applyBorder="1" applyAlignment="1">
      <alignment vertical="center"/>
    </xf>
    <xf numFmtId="166" fontId="2" fillId="0" borderId="22" xfId="38" applyNumberFormat="1" applyFont="1" applyBorder="1" applyAlignment="1">
      <alignment vertical="center"/>
    </xf>
    <xf numFmtId="166" fontId="8" fillId="0" borderId="22" xfId="38" applyNumberFormat="1" applyFont="1" applyBorder="1" applyAlignment="1">
      <alignment vertical="center"/>
    </xf>
    <xf numFmtId="165" fontId="4" fillId="0" borderId="19" xfId="38" applyNumberFormat="1" applyFont="1" applyBorder="1" applyAlignment="1">
      <alignment horizontal="center"/>
    </xf>
    <xf numFmtId="165" fontId="4" fillId="0" borderId="17" xfId="38" applyNumberFormat="1" applyFont="1" applyBorder="1" applyAlignment="1">
      <alignment horizontal="center"/>
    </xf>
    <xf numFmtId="165" fontId="4" fillId="0" borderId="18" xfId="38" applyNumberFormat="1" applyFont="1" applyBorder="1" applyAlignment="1">
      <alignment horizontal="center"/>
    </xf>
    <xf numFmtId="166" fontId="4" fillId="0" borderId="22" xfId="38" applyNumberFormat="1" applyFont="1" applyBorder="1" applyAlignment="1">
      <alignment/>
    </xf>
    <xf numFmtId="166" fontId="4" fillId="0" borderId="23" xfId="38" applyNumberFormat="1" applyFont="1" applyBorder="1" applyAlignment="1">
      <alignment/>
    </xf>
    <xf numFmtId="166" fontId="0" fillId="0" borderId="22" xfId="38" applyNumberFormat="1" applyFont="1" applyBorder="1" applyAlignment="1">
      <alignment/>
    </xf>
    <xf numFmtId="166" fontId="0" fillId="0" borderId="23" xfId="38" applyNumberFormat="1" applyFont="1" applyBorder="1" applyAlignment="1">
      <alignment/>
    </xf>
    <xf numFmtId="166" fontId="4" fillId="0" borderId="22" xfId="38" applyNumberFormat="1" applyFont="1" applyBorder="1" applyAlignment="1">
      <alignment/>
    </xf>
    <xf numFmtId="166" fontId="4" fillId="0" borderId="23" xfId="38" applyNumberFormat="1" applyFont="1" applyBorder="1" applyAlignment="1">
      <alignment/>
    </xf>
    <xf numFmtId="166" fontId="0" fillId="0" borderId="24" xfId="38" applyNumberFormat="1" applyFont="1" applyBorder="1" applyAlignment="1">
      <alignment/>
    </xf>
    <xf numFmtId="166" fontId="0" fillId="0" borderId="25" xfId="38" applyNumberFormat="1" applyFont="1" applyBorder="1" applyAlignment="1">
      <alignment/>
    </xf>
    <xf numFmtId="166" fontId="6" fillId="0" borderId="23" xfId="38" applyNumberFormat="1" applyFont="1" applyBorder="1" applyAlignment="1">
      <alignment/>
    </xf>
    <xf numFmtId="166" fontId="4" fillId="0" borderId="26" xfId="38" applyNumberFormat="1" applyFont="1" applyBorder="1" applyAlignment="1">
      <alignment/>
    </xf>
    <xf numFmtId="165" fontId="4" fillId="0" borderId="22" xfId="38" applyNumberFormat="1" applyFont="1" applyBorder="1" applyAlignment="1">
      <alignment horizontal="center"/>
    </xf>
    <xf numFmtId="166" fontId="0" fillId="0" borderId="22" xfId="38" applyNumberFormat="1" applyFont="1" applyFill="1" applyBorder="1" applyAlignment="1">
      <alignment/>
    </xf>
    <xf numFmtId="166" fontId="0" fillId="0" borderId="22" xfId="38" applyNumberFormat="1" applyFont="1" applyBorder="1" applyAlignment="1">
      <alignment/>
    </xf>
    <xf numFmtId="3" fontId="4" fillId="0" borderId="27" xfId="0" applyFont="1" applyBorder="1" applyAlignment="1">
      <alignment/>
    </xf>
    <xf numFmtId="3" fontId="5" fillId="0" borderId="27" xfId="0" applyFont="1" applyBorder="1" applyAlignment="1">
      <alignment/>
    </xf>
    <xf numFmtId="3" fontId="0" fillId="0" borderId="27" xfId="0" applyFont="1" applyBorder="1" applyAlignment="1">
      <alignment/>
    </xf>
    <xf numFmtId="3" fontId="0" fillId="0" borderId="27" xfId="0" applyBorder="1" applyAlignment="1">
      <alignment/>
    </xf>
    <xf numFmtId="3" fontId="4" fillId="0" borderId="27" xfId="0" applyFont="1" applyBorder="1" applyAlignment="1">
      <alignment/>
    </xf>
    <xf numFmtId="3" fontId="5" fillId="0" borderId="27" xfId="0" applyFont="1" applyBorder="1" applyAlignment="1">
      <alignment/>
    </xf>
    <xf numFmtId="3" fontId="0" fillId="0" borderId="28" xfId="0" applyBorder="1" applyAlignment="1">
      <alignment/>
    </xf>
    <xf numFmtId="3" fontId="0" fillId="0" borderId="27" xfId="0" applyFont="1" applyBorder="1" applyAlignment="1">
      <alignment/>
    </xf>
    <xf numFmtId="3" fontId="2" fillId="0" borderId="29" xfId="0" applyFont="1" applyBorder="1" applyAlignment="1">
      <alignment vertical="center"/>
    </xf>
    <xf numFmtId="3" fontId="6" fillId="0" borderId="27" xfId="0" applyFont="1" applyBorder="1" applyAlignment="1">
      <alignment/>
    </xf>
    <xf numFmtId="3" fontId="6" fillId="0" borderId="27" xfId="0" applyFont="1" applyBorder="1" applyAlignment="1">
      <alignment/>
    </xf>
    <xf numFmtId="3" fontId="0" fillId="0" borderId="28" xfId="0" applyFont="1" applyBorder="1" applyAlignment="1">
      <alignment/>
    </xf>
    <xf numFmtId="3" fontId="7" fillId="0" borderId="27" xfId="0" applyFont="1" applyBorder="1" applyAlignment="1">
      <alignment/>
    </xf>
    <xf numFmtId="3" fontId="7" fillId="0" borderId="28" xfId="0" applyFont="1" applyBorder="1" applyAlignment="1">
      <alignment/>
    </xf>
    <xf numFmtId="3" fontId="0" fillId="0" borderId="28" xfId="0" applyFont="1" applyBorder="1" applyAlignment="1">
      <alignment/>
    </xf>
    <xf numFmtId="3" fontId="4" fillId="0" borderId="27" xfId="0" applyFont="1" applyFill="1" applyBorder="1" applyAlignment="1">
      <alignment/>
    </xf>
    <xf numFmtId="3" fontId="0" fillId="0" borderId="27" xfId="0" applyFill="1" applyBorder="1" applyAlignment="1">
      <alignment/>
    </xf>
    <xf numFmtId="3" fontId="4" fillId="0" borderId="29" xfId="0" applyFont="1" applyBorder="1" applyAlignment="1">
      <alignment/>
    </xf>
    <xf numFmtId="3" fontId="3" fillId="0" borderId="30" xfId="0" applyFont="1" applyBorder="1" applyAlignment="1">
      <alignment vertical="center"/>
    </xf>
    <xf numFmtId="3" fontId="4" fillId="0" borderId="30" xfId="0" applyFont="1" applyBorder="1" applyAlignment="1">
      <alignment vertical="center"/>
    </xf>
    <xf numFmtId="3" fontId="2" fillId="0" borderId="30" xfId="0" applyFont="1" applyBorder="1" applyAlignment="1">
      <alignment vertical="center"/>
    </xf>
    <xf numFmtId="3" fontId="2" fillId="0" borderId="31" xfId="0" applyFont="1" applyBorder="1" applyAlignment="1">
      <alignment vertical="center"/>
    </xf>
    <xf numFmtId="3" fontId="2" fillId="0" borderId="27" xfId="0" applyFont="1" applyBorder="1" applyAlignment="1">
      <alignment vertical="center"/>
    </xf>
    <xf numFmtId="3" fontId="0" fillId="0" borderId="27" xfId="0" applyFont="1" applyBorder="1" applyAlignment="1">
      <alignment vertical="center"/>
    </xf>
    <xf numFmtId="3" fontId="0" fillId="0" borderId="27" xfId="0" applyBorder="1" applyAlignment="1">
      <alignment vertical="center"/>
    </xf>
    <xf numFmtId="3" fontId="7" fillId="0" borderId="27" xfId="0" applyFont="1" applyBorder="1" applyAlignment="1">
      <alignment/>
    </xf>
    <xf numFmtId="3" fontId="4" fillId="0" borderId="27" xfId="0" applyFont="1" applyBorder="1" applyAlignment="1">
      <alignment horizontal="left" vertical="center"/>
    </xf>
    <xf numFmtId="165" fontId="4" fillId="0" borderId="23" xfId="38" applyNumberFormat="1" applyFont="1" applyBorder="1" applyAlignment="1">
      <alignment horizontal="center"/>
    </xf>
    <xf numFmtId="165" fontId="4" fillId="0" borderId="32" xfId="38" applyNumberFormat="1" applyFont="1" applyBorder="1" applyAlignment="1">
      <alignment horizontal="center"/>
    </xf>
    <xf numFmtId="165" fontId="4" fillId="0" borderId="20" xfId="38" applyNumberFormat="1" applyFont="1" applyBorder="1" applyAlignment="1">
      <alignment horizontal="center"/>
    </xf>
    <xf numFmtId="165" fontId="4" fillId="0" borderId="33" xfId="38" applyNumberFormat="1" applyFont="1" applyBorder="1" applyAlignment="1">
      <alignment horizontal="center"/>
    </xf>
    <xf numFmtId="166" fontId="8" fillId="0" borderId="23" xfId="38" applyNumberFormat="1" applyFont="1" applyBorder="1" applyAlignment="1">
      <alignment vertical="center"/>
    </xf>
    <xf numFmtId="3" fontId="45" fillId="0" borderId="0" xfId="0" applyFont="1" applyAlignment="1">
      <alignment/>
    </xf>
    <xf numFmtId="166" fontId="8" fillId="0" borderId="33" xfId="38" applyNumberFormat="1" applyFont="1" applyBorder="1" applyAlignment="1">
      <alignment vertical="center"/>
    </xf>
    <xf numFmtId="167" fontId="0" fillId="0" borderId="0" xfId="0" applyNumberFormat="1" applyAlignment="1">
      <alignment/>
    </xf>
    <xf numFmtId="166" fontId="8" fillId="0" borderId="32" xfId="38" applyNumberFormat="1" applyFont="1" applyBorder="1" applyAlignment="1">
      <alignment vertical="center"/>
    </xf>
    <xf numFmtId="3" fontId="0" fillId="0" borderId="29" xfId="0" applyBorder="1" applyAlignment="1">
      <alignment vertical="center"/>
    </xf>
    <xf numFmtId="166" fontId="0" fillId="0" borderId="11" xfId="38" applyNumberFormat="1" applyFont="1" applyFill="1" applyBorder="1" applyAlignment="1">
      <alignment/>
    </xf>
    <xf numFmtId="166" fontId="4" fillId="0" borderId="26" xfId="38" applyNumberFormat="1" applyFont="1" applyBorder="1" applyAlignment="1">
      <alignment/>
    </xf>
    <xf numFmtId="166" fontId="6" fillId="0" borderId="26" xfId="38" applyNumberFormat="1" applyFont="1" applyBorder="1" applyAlignment="1">
      <alignment/>
    </xf>
    <xf numFmtId="3" fontId="46" fillId="0" borderId="0" xfId="0" applyFont="1" applyAlignment="1">
      <alignment/>
    </xf>
    <xf numFmtId="3" fontId="7" fillId="0" borderId="34" xfId="0" applyFont="1" applyBorder="1" applyAlignment="1">
      <alignment/>
    </xf>
    <xf numFmtId="166" fontId="0" fillId="0" borderId="35" xfId="38" applyNumberFormat="1" applyFont="1" applyBorder="1" applyAlignment="1">
      <alignment/>
    </xf>
    <xf numFmtId="166" fontId="0" fillId="0" borderId="26" xfId="38" applyNumberFormat="1" applyFont="1" applyBorder="1" applyAlignment="1">
      <alignment/>
    </xf>
    <xf numFmtId="165" fontId="4" fillId="0" borderId="36" xfId="38" applyNumberFormat="1" applyFont="1" applyBorder="1" applyAlignment="1">
      <alignment horizontal="center"/>
    </xf>
    <xf numFmtId="165" fontId="4" fillId="0" borderId="37" xfId="38" applyNumberFormat="1" applyFont="1" applyBorder="1" applyAlignment="1">
      <alignment horizontal="center"/>
    </xf>
    <xf numFmtId="166" fontId="4" fillId="0" borderId="38" xfId="38" applyNumberFormat="1" applyFont="1" applyBorder="1" applyAlignment="1">
      <alignment/>
    </xf>
    <xf numFmtId="166" fontId="0" fillId="0" borderId="24" xfId="38" applyNumberFormat="1" applyFont="1" applyFill="1" applyBorder="1" applyAlignment="1">
      <alignment/>
    </xf>
    <xf numFmtId="3" fontId="0" fillId="0" borderId="26" xfId="0" applyBorder="1" applyAlignment="1">
      <alignment/>
    </xf>
    <xf numFmtId="167" fontId="4" fillId="0" borderId="26" xfId="0" applyNumberFormat="1" applyFont="1" applyBorder="1" applyAlignment="1">
      <alignment/>
    </xf>
    <xf numFmtId="167" fontId="0" fillId="0" borderId="26" xfId="0" applyNumberFormat="1" applyBorder="1" applyAlignment="1">
      <alignment/>
    </xf>
    <xf numFmtId="167" fontId="0" fillId="0" borderId="37" xfId="0" applyNumberFormat="1" applyBorder="1" applyAlignment="1">
      <alignment/>
    </xf>
    <xf numFmtId="167" fontId="0" fillId="0" borderId="35" xfId="0" applyNumberFormat="1" applyBorder="1" applyAlignment="1">
      <alignment/>
    </xf>
    <xf numFmtId="166" fontId="0" fillId="0" borderId="0" xfId="38" applyNumberFormat="1" applyFont="1" applyBorder="1" applyAlignment="1">
      <alignment/>
    </xf>
    <xf numFmtId="166" fontId="2" fillId="0" borderId="14" xfId="38" applyNumberFormat="1" applyFont="1" applyBorder="1" applyAlignment="1">
      <alignment vertical="center"/>
    </xf>
    <xf numFmtId="166" fontId="8" fillId="0" borderId="14" xfId="38" applyNumberFormat="1" applyFont="1" applyBorder="1" applyAlignment="1">
      <alignment vertical="center"/>
    </xf>
    <xf numFmtId="3" fontId="4" fillId="0" borderId="39" xfId="0" applyFont="1" applyBorder="1" applyAlignment="1">
      <alignment horizontal="center" vertical="center"/>
    </xf>
    <xf numFmtId="3" fontId="0" fillId="0" borderId="40" xfId="0" applyBorder="1" applyAlignment="1">
      <alignment horizontal="center" vertical="center"/>
    </xf>
    <xf numFmtId="3" fontId="4" fillId="0" borderId="34" xfId="0" applyFont="1" applyBorder="1" applyAlignment="1">
      <alignment horizontal="left" vertical="center"/>
    </xf>
    <xf numFmtId="3" fontId="4" fillId="0" borderId="34" xfId="0" applyFont="1" applyBorder="1" applyAlignment="1">
      <alignment/>
    </xf>
    <xf numFmtId="3" fontId="5" fillId="0" borderId="34" xfId="0" applyFont="1" applyBorder="1" applyAlignment="1">
      <alignment/>
    </xf>
    <xf numFmtId="3" fontId="0" fillId="0" borderId="34" xfId="0" applyFont="1" applyBorder="1" applyAlignment="1">
      <alignment/>
    </xf>
    <xf numFmtId="3" fontId="0" fillId="0" borderId="34" xfId="0" applyBorder="1" applyAlignment="1">
      <alignment/>
    </xf>
    <xf numFmtId="3" fontId="4" fillId="0" borderId="34" xfId="0" applyFont="1" applyBorder="1" applyAlignment="1">
      <alignment/>
    </xf>
    <xf numFmtId="3" fontId="5" fillId="0" borderId="34" xfId="0" applyFont="1" applyBorder="1" applyAlignment="1">
      <alignment/>
    </xf>
    <xf numFmtId="3" fontId="0" fillId="0" borderId="34" xfId="0" applyFont="1" applyBorder="1" applyAlignment="1">
      <alignment/>
    </xf>
    <xf numFmtId="3" fontId="2" fillId="0" borderId="40" xfId="0" applyFont="1" applyBorder="1" applyAlignment="1">
      <alignment vertical="center"/>
    </xf>
    <xf numFmtId="3" fontId="7" fillId="0" borderId="34" xfId="0" applyFont="1" applyBorder="1" applyAlignment="1">
      <alignment horizontal="center"/>
    </xf>
    <xf numFmtId="3" fontId="0" fillId="0" borderId="27" xfId="0" applyFont="1" applyBorder="1" applyAlignment="1">
      <alignment/>
    </xf>
    <xf numFmtId="3" fontId="9" fillId="0" borderId="34" xfId="0" applyFont="1" applyBorder="1" applyAlignment="1">
      <alignment/>
    </xf>
    <xf numFmtId="3" fontId="7" fillId="0" borderId="41" xfId="0" applyFont="1" applyBorder="1" applyAlignment="1">
      <alignment horizontal="center"/>
    </xf>
    <xf numFmtId="3" fontId="9" fillId="0" borderId="34" xfId="0" applyFont="1" applyBorder="1" applyAlignment="1">
      <alignment horizontal="center"/>
    </xf>
    <xf numFmtId="3" fontId="9" fillId="0" borderId="34" xfId="0" applyFont="1" applyFill="1" applyBorder="1" applyAlignment="1">
      <alignment horizontal="center"/>
    </xf>
    <xf numFmtId="3" fontId="7" fillId="0" borderId="34" xfId="0" applyFont="1" applyFill="1" applyBorder="1" applyAlignment="1">
      <alignment horizontal="center"/>
    </xf>
    <xf numFmtId="3" fontId="9" fillId="0" borderId="30" xfId="0" applyFont="1" applyBorder="1" applyAlignment="1">
      <alignment horizontal="center" vertical="center"/>
    </xf>
    <xf numFmtId="3" fontId="9" fillId="0" borderId="31" xfId="0" applyFont="1" applyBorder="1" applyAlignment="1">
      <alignment horizontal="center" vertical="center"/>
    </xf>
    <xf numFmtId="3" fontId="9" fillId="0" borderId="27" xfId="0" applyFont="1" applyBorder="1" applyAlignment="1">
      <alignment horizontal="center" vertical="center"/>
    </xf>
    <xf numFmtId="3" fontId="9" fillId="0" borderId="29" xfId="0" applyFont="1" applyBorder="1" applyAlignment="1">
      <alignment horizontal="center" vertical="center"/>
    </xf>
    <xf numFmtId="3" fontId="7" fillId="0" borderId="27" xfId="0" applyFont="1" applyBorder="1" applyAlignment="1">
      <alignment horizontal="center" vertical="center"/>
    </xf>
    <xf numFmtId="3" fontId="7" fillId="0" borderId="34" xfId="0" applyFont="1" applyBorder="1" applyAlignment="1">
      <alignment horizontal="center" vertical="center"/>
    </xf>
    <xf numFmtId="3" fontId="7" fillId="0" borderId="40" xfId="0" applyFont="1" applyBorder="1" applyAlignment="1">
      <alignment horizontal="center" vertical="center"/>
    </xf>
    <xf numFmtId="3" fontId="7" fillId="0" borderId="0" xfId="0" applyFont="1" applyAlignment="1">
      <alignment/>
    </xf>
    <xf numFmtId="174" fontId="4" fillId="0" borderId="22" xfId="38" applyNumberFormat="1" applyFont="1" applyBorder="1" applyAlignment="1">
      <alignment/>
    </xf>
    <xf numFmtId="174" fontId="4" fillId="0" borderId="10" xfId="38" applyNumberFormat="1" applyFont="1" applyBorder="1" applyAlignment="1">
      <alignment/>
    </xf>
    <xf numFmtId="174" fontId="4" fillId="0" borderId="23" xfId="38" applyNumberFormat="1" applyFont="1" applyBorder="1" applyAlignment="1">
      <alignment/>
    </xf>
    <xf numFmtId="174" fontId="0" fillId="0" borderId="10" xfId="38" applyNumberFormat="1" applyFont="1" applyBorder="1" applyAlignment="1">
      <alignment/>
    </xf>
    <xf numFmtId="174" fontId="0" fillId="0" borderId="23" xfId="38" applyNumberFormat="1" applyFont="1" applyBorder="1" applyAlignment="1">
      <alignment/>
    </xf>
    <xf numFmtId="174" fontId="0" fillId="0" borderId="22" xfId="38" applyNumberFormat="1" applyFont="1" applyBorder="1" applyAlignment="1">
      <alignment/>
    </xf>
    <xf numFmtId="174" fontId="4" fillId="0" borderId="22" xfId="38" applyNumberFormat="1" applyFont="1" applyBorder="1" applyAlignment="1">
      <alignment/>
    </xf>
    <xf numFmtId="174" fontId="4" fillId="0" borderId="10" xfId="38" applyNumberFormat="1" applyFont="1" applyBorder="1" applyAlignment="1">
      <alignment/>
    </xf>
    <xf numFmtId="174" fontId="4" fillId="0" borderId="23" xfId="38" applyNumberFormat="1" applyFont="1" applyBorder="1" applyAlignment="1">
      <alignment/>
    </xf>
    <xf numFmtId="174" fontId="2" fillId="0" borderId="32" xfId="38" applyNumberFormat="1" applyFont="1" applyBorder="1" applyAlignment="1">
      <alignment vertical="center"/>
    </xf>
    <xf numFmtId="174" fontId="2" fillId="0" borderId="20" xfId="38" applyNumberFormat="1" applyFont="1" applyBorder="1" applyAlignment="1">
      <alignment vertical="center"/>
    </xf>
    <xf numFmtId="174" fontId="2" fillId="0" borderId="33" xfId="38" applyNumberFormat="1" applyFont="1" applyBorder="1" applyAlignment="1">
      <alignment vertical="center"/>
    </xf>
    <xf numFmtId="174" fontId="6" fillId="0" borderId="22" xfId="38" applyNumberFormat="1" applyFont="1" applyBorder="1" applyAlignment="1">
      <alignment/>
    </xf>
    <xf numFmtId="174" fontId="6" fillId="0" borderId="10" xfId="38" applyNumberFormat="1" applyFont="1" applyBorder="1" applyAlignment="1">
      <alignment/>
    </xf>
    <xf numFmtId="174" fontId="6" fillId="0" borderId="23" xfId="38" applyNumberFormat="1" applyFont="1" applyBorder="1" applyAlignment="1">
      <alignment/>
    </xf>
    <xf numFmtId="174" fontId="0" fillId="0" borderId="24" xfId="38" applyNumberFormat="1" applyFont="1" applyBorder="1" applyAlignment="1">
      <alignment/>
    </xf>
    <xf numFmtId="174" fontId="0" fillId="0" borderId="11" xfId="38" applyNumberFormat="1" applyFont="1" applyBorder="1" applyAlignment="1">
      <alignment/>
    </xf>
    <xf numFmtId="174" fontId="6" fillId="0" borderId="22" xfId="38" applyNumberFormat="1" applyFont="1" applyBorder="1" applyAlignment="1">
      <alignment/>
    </xf>
    <xf numFmtId="174" fontId="6" fillId="0" borderId="10" xfId="38" applyNumberFormat="1" applyFont="1" applyBorder="1" applyAlignment="1">
      <alignment/>
    </xf>
    <xf numFmtId="174" fontId="6" fillId="0" borderId="23" xfId="38" applyNumberFormat="1" applyFont="1" applyBorder="1" applyAlignment="1">
      <alignment/>
    </xf>
    <xf numFmtId="174" fontId="0" fillId="0" borderId="10" xfId="38" applyNumberFormat="1" applyFont="1" applyFill="1" applyBorder="1" applyAlignment="1">
      <alignment/>
    </xf>
    <xf numFmtId="174" fontId="0" fillId="0" borderId="22" xfId="38" applyNumberFormat="1" applyFont="1" applyFill="1" applyBorder="1" applyAlignment="1">
      <alignment/>
    </xf>
    <xf numFmtId="174" fontId="0" fillId="0" borderId="34" xfId="38" applyNumberFormat="1" applyFont="1" applyBorder="1" applyAlignment="1">
      <alignment/>
    </xf>
    <xf numFmtId="174" fontId="0" fillId="0" borderId="0" xfId="38" applyNumberFormat="1" applyFont="1" applyBorder="1" applyAlignment="1">
      <alignment/>
    </xf>
    <xf numFmtId="174" fontId="0" fillId="0" borderId="34" xfId="38" applyNumberFormat="1" applyFont="1" applyFill="1" applyBorder="1" applyAlignment="1">
      <alignment/>
    </xf>
    <xf numFmtId="174" fontId="0" fillId="0" borderId="0" xfId="38" applyNumberFormat="1" applyFont="1" applyFill="1" applyBorder="1" applyAlignment="1">
      <alignment/>
    </xf>
    <xf numFmtId="174" fontId="0" fillId="0" borderId="14" xfId="38" applyNumberFormat="1" applyFont="1" applyBorder="1" applyAlignment="1">
      <alignment/>
    </xf>
    <xf numFmtId="174" fontId="0" fillId="0" borderId="24" xfId="38" applyNumberFormat="1" applyFont="1" applyBorder="1" applyAlignment="1">
      <alignment/>
    </xf>
    <xf numFmtId="174" fontId="4" fillId="0" borderId="42" xfId="38" applyNumberFormat="1" applyFont="1" applyBorder="1" applyAlignment="1">
      <alignment/>
    </xf>
    <xf numFmtId="174" fontId="4" fillId="0" borderId="38" xfId="38" applyNumberFormat="1" applyFont="1" applyBorder="1" applyAlignment="1">
      <alignment/>
    </xf>
    <xf numFmtId="174" fontId="0" fillId="0" borderId="11" xfId="38" applyNumberFormat="1" applyFont="1" applyFill="1" applyBorder="1" applyAlignment="1">
      <alignment/>
    </xf>
    <xf numFmtId="174" fontId="2" fillId="0" borderId="16" xfId="38" applyNumberFormat="1" applyFont="1" applyBorder="1" applyAlignment="1">
      <alignment vertical="center"/>
    </xf>
    <xf numFmtId="174" fontId="2" fillId="0" borderId="18" xfId="38" applyNumberFormat="1" applyFont="1" applyBorder="1" applyAlignment="1">
      <alignment vertical="center"/>
    </xf>
    <xf numFmtId="174" fontId="2" fillId="0" borderId="14" xfId="38" applyNumberFormat="1" applyFont="1" applyBorder="1" applyAlignment="1">
      <alignment vertical="center"/>
    </xf>
    <xf numFmtId="174" fontId="8" fillId="0" borderId="14" xfId="38" applyNumberFormat="1" applyFont="1" applyBorder="1" applyAlignment="1">
      <alignment vertical="center"/>
    </xf>
    <xf numFmtId="174" fontId="8" fillId="0" borderId="22" xfId="38" applyNumberFormat="1" applyFont="1" applyBorder="1" applyAlignment="1">
      <alignment vertical="center"/>
    </xf>
    <xf numFmtId="174" fontId="8" fillId="0" borderId="10" xfId="38" applyNumberFormat="1" applyFont="1" applyFill="1" applyBorder="1" applyAlignment="1">
      <alignment vertical="center"/>
    </xf>
    <xf numFmtId="174" fontId="8" fillId="0" borderId="10" xfId="38" applyNumberFormat="1" applyFont="1" applyBorder="1" applyAlignment="1">
      <alignment vertical="center"/>
    </xf>
    <xf numFmtId="174" fontId="8" fillId="0" borderId="20" xfId="38" applyNumberFormat="1" applyFont="1" applyBorder="1" applyAlignment="1">
      <alignment vertical="center"/>
    </xf>
    <xf numFmtId="174" fontId="0" fillId="0" borderId="0" xfId="0" applyNumberFormat="1" applyAlignment="1">
      <alignment/>
    </xf>
    <xf numFmtId="174" fontId="3" fillId="0" borderId="43" xfId="38" applyNumberFormat="1" applyFont="1" applyBorder="1" applyAlignment="1">
      <alignment vertical="center"/>
    </xf>
    <xf numFmtId="174" fontId="4" fillId="0" borderId="43" xfId="38" applyNumberFormat="1" applyFont="1" applyBorder="1" applyAlignment="1">
      <alignment vertical="center"/>
    </xf>
    <xf numFmtId="174" fontId="2" fillId="0" borderId="43" xfId="38" applyNumberFormat="1" applyFont="1" applyBorder="1" applyAlignment="1">
      <alignment vertical="center"/>
    </xf>
    <xf numFmtId="174" fontId="3" fillId="0" borderId="39" xfId="38" applyNumberFormat="1" applyFont="1" applyBorder="1" applyAlignment="1">
      <alignment vertical="center"/>
    </xf>
    <xf numFmtId="174" fontId="3" fillId="0" borderId="34" xfId="38" applyNumberFormat="1" applyFont="1" applyBorder="1" applyAlignment="1">
      <alignment vertical="center"/>
    </xf>
    <xf numFmtId="174" fontId="3" fillId="0" borderId="40" xfId="38" applyNumberFormat="1" applyFont="1" applyBorder="1" applyAlignment="1">
      <alignment vertical="center"/>
    </xf>
    <xf numFmtId="174" fontId="2" fillId="0" borderId="39" xfId="38" applyNumberFormat="1" applyFont="1" applyBorder="1" applyAlignment="1">
      <alignment vertical="center"/>
    </xf>
    <xf numFmtId="174" fontId="2" fillId="0" borderId="34" xfId="38" applyNumberFormat="1" applyFont="1" applyBorder="1" applyAlignment="1">
      <alignment vertical="center"/>
    </xf>
    <xf numFmtId="174" fontId="8" fillId="0" borderId="34" xfId="38" applyNumberFormat="1" applyFont="1" applyBorder="1" applyAlignment="1">
      <alignment vertical="center"/>
    </xf>
    <xf numFmtId="174" fontId="3" fillId="0" borderId="16" xfId="38" applyNumberFormat="1" applyFont="1" applyBorder="1" applyAlignment="1">
      <alignment vertical="center"/>
    </xf>
    <xf numFmtId="174" fontId="3" fillId="0" borderId="23" xfId="38" applyNumberFormat="1" applyFont="1" applyBorder="1" applyAlignment="1">
      <alignment vertical="center"/>
    </xf>
    <xf numFmtId="174" fontId="3" fillId="0" borderId="33" xfId="38" applyNumberFormat="1" applyFont="1" applyBorder="1" applyAlignment="1">
      <alignment vertical="center"/>
    </xf>
    <xf numFmtId="174" fontId="3" fillId="0" borderId="15" xfId="38" applyNumberFormat="1" applyFont="1" applyBorder="1" applyAlignment="1">
      <alignment vertical="center"/>
    </xf>
    <xf numFmtId="174" fontId="4" fillId="0" borderId="15" xfId="38" applyNumberFormat="1" applyFont="1" applyBorder="1" applyAlignment="1">
      <alignment vertical="center"/>
    </xf>
    <xf numFmtId="174" fontId="2" fillId="0" borderId="15" xfId="38" applyNumberFormat="1" applyFont="1" applyBorder="1" applyAlignment="1">
      <alignment vertical="center"/>
    </xf>
    <xf numFmtId="174" fontId="3" fillId="0" borderId="17" xfId="38" applyNumberFormat="1" applyFont="1" applyBorder="1" applyAlignment="1">
      <alignment vertical="center"/>
    </xf>
    <xf numFmtId="174" fontId="3" fillId="0" borderId="10" xfId="38" applyNumberFormat="1" applyFont="1" applyBorder="1" applyAlignment="1">
      <alignment vertical="center"/>
    </xf>
    <xf numFmtId="174" fontId="3" fillId="0" borderId="20" xfId="38" applyNumberFormat="1" applyFont="1" applyBorder="1" applyAlignment="1">
      <alignment vertical="center"/>
    </xf>
    <xf numFmtId="174" fontId="2" fillId="0" borderId="17" xfId="38" applyNumberFormat="1" applyFont="1" applyBorder="1" applyAlignment="1">
      <alignment vertical="center"/>
    </xf>
    <xf numFmtId="174" fontId="2" fillId="0" borderId="10" xfId="38" applyNumberFormat="1" applyFont="1" applyBorder="1" applyAlignment="1">
      <alignment vertical="center"/>
    </xf>
    <xf numFmtId="174" fontId="4" fillId="0" borderId="44" xfId="38" applyNumberFormat="1" applyFont="1" applyBorder="1" applyAlignment="1">
      <alignment vertical="center"/>
    </xf>
    <xf numFmtId="174" fontId="6" fillId="0" borderId="14" xfId="38" applyNumberFormat="1" applyFont="1" applyBorder="1" applyAlignment="1">
      <alignment/>
    </xf>
    <xf numFmtId="174" fontId="6" fillId="0" borderId="10" xfId="38" applyNumberFormat="1" applyFont="1" applyFill="1" applyBorder="1" applyAlignment="1">
      <alignment/>
    </xf>
    <xf numFmtId="174" fontId="0" fillId="0" borderId="10" xfId="38" applyNumberFormat="1" applyFont="1" applyFill="1" applyBorder="1" applyAlignment="1">
      <alignment/>
    </xf>
    <xf numFmtId="174" fontId="8" fillId="0" borderId="32" xfId="38" applyNumberFormat="1" applyFont="1" applyBorder="1" applyAlignment="1">
      <alignment vertical="center"/>
    </xf>
    <xf numFmtId="3" fontId="7" fillId="0" borderId="41" xfId="0" applyFont="1" applyBorder="1" applyAlignment="1">
      <alignment/>
    </xf>
    <xf numFmtId="174" fontId="6" fillId="0" borderId="34" xfId="38" applyNumberFormat="1" applyFont="1" applyBorder="1" applyAlignment="1">
      <alignment/>
    </xf>
    <xf numFmtId="174" fontId="6" fillId="0" borderId="12" xfId="38" applyNumberFormat="1" applyFont="1" applyBorder="1" applyAlignment="1">
      <alignment/>
    </xf>
    <xf numFmtId="3" fontId="0" fillId="0" borderId="0" xfId="0" applyFill="1" applyAlignment="1">
      <alignment/>
    </xf>
    <xf numFmtId="165" fontId="4" fillId="0" borderId="19" xfId="38" applyNumberFormat="1" applyFont="1" applyFill="1" applyBorder="1" applyAlignment="1">
      <alignment horizontal="center"/>
    </xf>
    <xf numFmtId="165" fontId="4" fillId="0" borderId="32" xfId="38" applyNumberFormat="1" applyFont="1" applyFill="1" applyBorder="1" applyAlignment="1">
      <alignment horizontal="center"/>
    </xf>
    <xf numFmtId="3" fontId="0" fillId="0" borderId="22" xfId="0" applyFill="1" applyBorder="1" applyAlignment="1">
      <alignment/>
    </xf>
    <xf numFmtId="167" fontId="0" fillId="0" borderId="22" xfId="0" applyNumberFormat="1" applyFill="1" applyBorder="1" applyAlignment="1">
      <alignment/>
    </xf>
    <xf numFmtId="174" fontId="4" fillId="0" borderId="23" xfId="38" applyNumberFormat="1" applyFont="1" applyFill="1" applyBorder="1" applyAlignment="1">
      <alignment/>
    </xf>
    <xf numFmtId="174" fontId="0" fillId="0" borderId="23" xfId="38" applyNumberFormat="1" applyFont="1" applyFill="1" applyBorder="1" applyAlignment="1">
      <alignment/>
    </xf>
    <xf numFmtId="174" fontId="4" fillId="0" borderId="23" xfId="38" applyNumberFormat="1" applyFont="1" applyFill="1" applyBorder="1" applyAlignment="1">
      <alignment/>
    </xf>
    <xf numFmtId="174" fontId="2" fillId="0" borderId="33" xfId="38" applyNumberFormat="1" applyFont="1" applyFill="1" applyBorder="1" applyAlignment="1">
      <alignment vertical="center"/>
    </xf>
    <xf numFmtId="167" fontId="0" fillId="0" borderId="24" xfId="0" applyNumberFormat="1" applyFill="1" applyBorder="1" applyAlignment="1">
      <alignment/>
    </xf>
    <xf numFmtId="167" fontId="4" fillId="0" borderId="22" xfId="38" applyNumberFormat="1" applyFont="1" applyFill="1" applyBorder="1" applyAlignment="1">
      <alignment/>
    </xf>
    <xf numFmtId="167" fontId="0" fillId="0" borderId="32" xfId="0" applyNumberFormat="1" applyFill="1" applyBorder="1" applyAlignment="1">
      <alignment/>
    </xf>
    <xf numFmtId="167" fontId="0" fillId="0" borderId="0" xfId="0" applyNumberFormat="1" applyFill="1" applyAlignment="1">
      <alignment/>
    </xf>
    <xf numFmtId="4" fontId="4" fillId="0" borderId="22" xfId="38" applyNumberFormat="1" applyFont="1" applyBorder="1" applyAlignment="1">
      <alignment/>
    </xf>
    <xf numFmtId="4" fontId="4" fillId="0" borderId="10" xfId="38" applyNumberFormat="1" applyFont="1" applyBorder="1" applyAlignment="1">
      <alignment/>
    </xf>
    <xf numFmtId="4" fontId="4" fillId="0" borderId="23" xfId="38" applyNumberFormat="1" applyFont="1" applyBorder="1" applyAlignment="1">
      <alignment/>
    </xf>
    <xf numFmtId="4" fontId="0" fillId="0" borderId="22" xfId="38" applyNumberFormat="1" applyFont="1" applyBorder="1" applyAlignment="1">
      <alignment/>
    </xf>
    <xf numFmtId="4" fontId="0" fillId="0" borderId="23" xfId="38" applyNumberFormat="1" applyFont="1" applyBorder="1" applyAlignment="1">
      <alignment/>
    </xf>
    <xf numFmtId="4" fontId="0" fillId="0" borderId="10" xfId="38" applyNumberFormat="1" applyFont="1" applyBorder="1" applyAlignment="1">
      <alignment/>
    </xf>
    <xf numFmtId="4" fontId="4" fillId="0" borderId="23" xfId="38" applyNumberFormat="1" applyFont="1" applyBorder="1" applyAlignment="1">
      <alignment/>
    </xf>
    <xf numFmtId="4" fontId="4" fillId="0" borderId="22" xfId="38" applyNumberFormat="1" applyFont="1" applyBorder="1" applyAlignment="1">
      <alignment/>
    </xf>
    <xf numFmtId="4" fontId="4" fillId="0" borderId="10" xfId="38" applyNumberFormat="1" applyFont="1" applyBorder="1" applyAlignment="1">
      <alignment/>
    </xf>
    <xf numFmtId="4" fontId="2" fillId="0" borderId="33" xfId="38" applyNumberFormat="1" applyFont="1" applyBorder="1" applyAlignment="1">
      <alignment vertical="center"/>
    </xf>
    <xf numFmtId="4" fontId="6" fillId="0" borderId="22" xfId="38" applyNumberFormat="1" applyFont="1" applyBorder="1" applyAlignment="1">
      <alignment/>
    </xf>
    <xf numFmtId="4" fontId="6" fillId="0" borderId="10" xfId="38" applyNumberFormat="1" applyFont="1" applyBorder="1" applyAlignment="1">
      <alignment/>
    </xf>
    <xf numFmtId="4" fontId="6" fillId="0" borderId="23" xfId="38" applyNumberFormat="1" applyFont="1" applyBorder="1" applyAlignment="1">
      <alignment/>
    </xf>
    <xf numFmtId="4" fontId="6" fillId="0" borderId="23" xfId="38" applyNumberFormat="1" applyFont="1" applyBorder="1" applyAlignment="1">
      <alignment/>
    </xf>
    <xf numFmtId="4" fontId="0" fillId="0" borderId="24" xfId="38" applyNumberFormat="1" applyFont="1" applyBorder="1" applyAlignment="1">
      <alignment/>
    </xf>
    <xf numFmtId="4" fontId="0" fillId="0" borderId="11" xfId="38" applyNumberFormat="1" applyFont="1" applyBorder="1" applyAlignment="1">
      <alignment/>
    </xf>
    <xf numFmtId="4" fontId="0" fillId="0" borderId="25" xfId="38" applyNumberFormat="1" applyFont="1" applyBorder="1" applyAlignment="1">
      <alignment/>
    </xf>
    <xf numFmtId="4" fontId="7" fillId="0" borderId="22" xfId="38" applyNumberFormat="1" applyFont="1" applyBorder="1" applyAlignment="1">
      <alignment/>
    </xf>
    <xf numFmtId="4" fontId="7" fillId="0" borderId="10" xfId="38" applyNumberFormat="1" applyFont="1" applyBorder="1" applyAlignment="1">
      <alignment/>
    </xf>
    <xf numFmtId="4" fontId="0" fillId="0" borderId="10" xfId="38" applyNumberFormat="1" applyFont="1" applyFill="1" applyBorder="1" applyAlignment="1">
      <alignment/>
    </xf>
    <xf numFmtId="4" fontId="4" fillId="0" borderId="38" xfId="38" applyNumberFormat="1" applyFont="1" applyBorder="1" applyAlignment="1">
      <alignment/>
    </xf>
    <xf numFmtId="4" fontId="3" fillId="0" borderId="16" xfId="38" applyNumberFormat="1" applyFont="1" applyBorder="1" applyAlignment="1">
      <alignment vertical="center"/>
    </xf>
    <xf numFmtId="4" fontId="4" fillId="0" borderId="15" xfId="38" applyNumberFormat="1" applyFont="1" applyBorder="1" applyAlignment="1">
      <alignment vertical="center"/>
    </xf>
    <xf numFmtId="4" fontId="4" fillId="0" borderId="16" xfId="38" applyNumberFormat="1" applyFont="1" applyBorder="1" applyAlignment="1">
      <alignment vertical="center"/>
    </xf>
    <xf numFmtId="4" fontId="2" fillId="0" borderId="16" xfId="38" applyNumberFormat="1" applyFont="1" applyBorder="1" applyAlignment="1">
      <alignment vertical="center"/>
    </xf>
    <xf numFmtId="4" fontId="3" fillId="0" borderId="17" xfId="38" applyNumberFormat="1" applyFont="1" applyBorder="1" applyAlignment="1">
      <alignment vertical="center"/>
    </xf>
    <xf numFmtId="4" fontId="3" fillId="0" borderId="18" xfId="38" applyNumberFormat="1" applyFont="1" applyBorder="1" applyAlignment="1">
      <alignment vertical="center"/>
    </xf>
    <xf numFmtId="4" fontId="3" fillId="0" borderId="23" xfId="38" applyNumberFormat="1" applyFont="1" applyBorder="1" applyAlignment="1">
      <alignment vertical="center"/>
    </xf>
    <xf numFmtId="4" fontId="3" fillId="0" borderId="33" xfId="38" applyNumberFormat="1" applyFont="1" applyBorder="1" applyAlignment="1">
      <alignment vertical="center"/>
    </xf>
    <xf numFmtId="4" fontId="2" fillId="0" borderId="18" xfId="38" applyNumberFormat="1" applyFont="1" applyBorder="1" applyAlignment="1">
      <alignment vertical="center"/>
    </xf>
    <xf numFmtId="4" fontId="2" fillId="0" borderId="10" xfId="38" applyNumberFormat="1" applyFont="1" applyBorder="1" applyAlignment="1">
      <alignment vertical="center"/>
    </xf>
    <xf numFmtId="4" fontId="8" fillId="0" borderId="23" xfId="38" applyNumberFormat="1" applyFont="1" applyBorder="1" applyAlignment="1">
      <alignment vertical="center"/>
    </xf>
    <xf numFmtId="4" fontId="8" fillId="0" borderId="10" xfId="38" applyNumberFormat="1" applyFont="1" applyBorder="1" applyAlignment="1">
      <alignment vertical="center"/>
    </xf>
    <xf numFmtId="4" fontId="8" fillId="0" borderId="22" xfId="38" applyNumberFormat="1" applyFont="1" applyBorder="1" applyAlignment="1">
      <alignment vertical="center"/>
    </xf>
    <xf numFmtId="4" fontId="8" fillId="0" borderId="32" xfId="38" applyNumberFormat="1" applyFont="1" applyBorder="1" applyAlignment="1">
      <alignment vertical="center"/>
    </xf>
    <xf numFmtId="4" fontId="8" fillId="0" borderId="20" xfId="38" applyNumberFormat="1" applyFont="1" applyBorder="1" applyAlignment="1">
      <alignment vertical="center"/>
    </xf>
    <xf numFmtId="4" fontId="8" fillId="0" borderId="33" xfId="38" applyNumberFormat="1" applyFont="1" applyBorder="1" applyAlignment="1">
      <alignment vertical="center"/>
    </xf>
    <xf numFmtId="4" fontId="0" fillId="0" borderId="0" xfId="0" applyNumberFormat="1" applyAlignment="1">
      <alignment/>
    </xf>
    <xf numFmtId="165" fontId="4" fillId="0" borderId="45" xfId="38" applyNumberFormat="1" applyFont="1" applyBorder="1" applyAlignment="1">
      <alignment horizontal="center"/>
    </xf>
    <xf numFmtId="165" fontId="4" fillId="0" borderId="46" xfId="38" applyNumberFormat="1" applyFont="1" applyBorder="1" applyAlignment="1">
      <alignment horizontal="center"/>
    </xf>
    <xf numFmtId="165" fontId="4" fillId="0" borderId="12" xfId="38" applyNumberFormat="1" applyFont="1" applyBorder="1" applyAlignment="1">
      <alignment horizontal="center"/>
    </xf>
    <xf numFmtId="174" fontId="4" fillId="0" borderId="12" xfId="38" applyNumberFormat="1" applyFont="1" applyBorder="1" applyAlignment="1">
      <alignment/>
    </xf>
    <xf numFmtId="174" fontId="0" fillId="0" borderId="12" xfId="38" applyNumberFormat="1" applyFont="1" applyBorder="1" applyAlignment="1">
      <alignment/>
    </xf>
    <xf numFmtId="174" fontId="4" fillId="0" borderId="12" xfId="38" applyNumberFormat="1" applyFont="1" applyBorder="1" applyAlignment="1">
      <alignment/>
    </xf>
    <xf numFmtId="174" fontId="2" fillId="0" borderId="46" xfId="38" applyNumberFormat="1" applyFont="1" applyBorder="1" applyAlignment="1">
      <alignment vertical="center"/>
    </xf>
    <xf numFmtId="174" fontId="6" fillId="0" borderId="12" xfId="38" applyNumberFormat="1" applyFont="1" applyBorder="1" applyAlignment="1">
      <alignment/>
    </xf>
    <xf numFmtId="174" fontId="0" fillId="0" borderId="47" xfId="38" applyNumberFormat="1" applyFont="1" applyBorder="1" applyAlignment="1">
      <alignment/>
    </xf>
    <xf numFmtId="174" fontId="7" fillId="0" borderId="12" xfId="38" applyNumberFormat="1" applyFont="1" applyBorder="1" applyAlignment="1">
      <alignment/>
    </xf>
    <xf numFmtId="174" fontId="0" fillId="0" borderId="12" xfId="38" applyNumberFormat="1" applyFont="1" applyFill="1" applyBorder="1" applyAlignment="1">
      <alignment/>
    </xf>
    <xf numFmtId="174" fontId="4" fillId="0" borderId="48" xfId="38" applyNumberFormat="1" applyFont="1" applyBorder="1" applyAlignment="1">
      <alignment/>
    </xf>
    <xf numFmtId="174" fontId="3" fillId="0" borderId="49" xfId="38" applyNumberFormat="1" applyFont="1" applyBorder="1" applyAlignment="1">
      <alignment vertical="center"/>
    </xf>
    <xf numFmtId="174" fontId="4" fillId="0" borderId="49" xfId="38" applyNumberFormat="1" applyFont="1" applyBorder="1" applyAlignment="1">
      <alignment vertical="center"/>
    </xf>
    <xf numFmtId="174" fontId="2" fillId="0" borderId="49" xfId="38" applyNumberFormat="1" applyFont="1" applyBorder="1" applyAlignment="1">
      <alignment vertical="center"/>
    </xf>
    <xf numFmtId="174" fontId="3" fillId="0" borderId="45" xfId="38" applyNumberFormat="1" applyFont="1" applyBorder="1" applyAlignment="1">
      <alignment vertical="center"/>
    </xf>
    <xf numFmtId="174" fontId="3" fillId="0" borderId="12" xfId="38" applyNumberFormat="1" applyFont="1" applyBorder="1" applyAlignment="1">
      <alignment vertical="center"/>
    </xf>
    <xf numFmtId="174" fontId="3" fillId="0" borderId="46" xfId="38" applyNumberFormat="1" applyFont="1" applyBorder="1" applyAlignment="1">
      <alignment vertical="center"/>
    </xf>
    <xf numFmtId="174" fontId="2" fillId="0" borderId="45" xfId="38" applyNumberFormat="1" applyFont="1" applyBorder="1" applyAlignment="1">
      <alignment vertical="center"/>
    </xf>
    <xf numFmtId="174" fontId="8" fillId="0" borderId="12" xfId="38" applyNumberFormat="1" applyFont="1" applyBorder="1" applyAlignment="1">
      <alignment vertical="center"/>
    </xf>
    <xf numFmtId="174" fontId="8" fillId="0" borderId="46" xfId="38" applyNumberFormat="1" applyFont="1" applyBorder="1" applyAlignment="1">
      <alignment vertical="center"/>
    </xf>
    <xf numFmtId="165" fontId="4" fillId="0" borderId="50" xfId="38" applyNumberFormat="1" applyFont="1" applyBorder="1" applyAlignment="1">
      <alignment horizontal="center"/>
    </xf>
    <xf numFmtId="165" fontId="4" fillId="0" borderId="51" xfId="38" applyNumberFormat="1" applyFont="1" applyBorder="1" applyAlignment="1">
      <alignment horizontal="center"/>
    </xf>
    <xf numFmtId="165" fontId="4" fillId="0" borderId="14" xfId="38" applyNumberFormat="1" applyFont="1" applyBorder="1" applyAlignment="1">
      <alignment horizontal="center"/>
    </xf>
    <xf numFmtId="166" fontId="4" fillId="0" borderId="14" xfId="38" applyNumberFormat="1" applyFont="1" applyBorder="1" applyAlignment="1">
      <alignment/>
    </xf>
    <xf numFmtId="166" fontId="0" fillId="0" borderId="14" xfId="38" applyNumberFormat="1" applyFont="1" applyBorder="1" applyAlignment="1">
      <alignment/>
    </xf>
    <xf numFmtId="174" fontId="4" fillId="0" borderId="26" xfId="38" applyNumberFormat="1" applyFont="1" applyBorder="1" applyAlignment="1">
      <alignment/>
    </xf>
    <xf numFmtId="174" fontId="0" fillId="0" borderId="26" xfId="38" applyNumberFormat="1" applyFont="1" applyBorder="1" applyAlignment="1">
      <alignment/>
    </xf>
    <xf numFmtId="174" fontId="4" fillId="0" borderId="26" xfId="38" applyNumberFormat="1" applyFont="1" applyBorder="1" applyAlignment="1">
      <alignment/>
    </xf>
    <xf numFmtId="166" fontId="0" fillId="0" borderId="14" xfId="38" applyNumberFormat="1" applyFont="1" applyFill="1" applyBorder="1" applyAlignment="1">
      <alignment/>
    </xf>
    <xf numFmtId="174" fontId="2" fillId="0" borderId="37" xfId="38" applyNumberFormat="1" applyFont="1" applyBorder="1" applyAlignment="1">
      <alignment vertical="center"/>
    </xf>
    <xf numFmtId="174" fontId="6" fillId="0" borderId="26" xfId="38" applyNumberFormat="1" applyFont="1" applyBorder="1" applyAlignment="1">
      <alignment/>
    </xf>
    <xf numFmtId="174" fontId="6" fillId="0" borderId="26" xfId="38" applyNumberFormat="1" applyFont="1" applyBorder="1" applyAlignment="1">
      <alignment/>
    </xf>
    <xf numFmtId="174" fontId="0" fillId="0" borderId="14" xfId="38" applyNumberFormat="1" applyFont="1" applyFill="1" applyBorder="1" applyAlignment="1">
      <alignment/>
    </xf>
    <xf numFmtId="174" fontId="4" fillId="0" borderId="52" xfId="38" applyNumberFormat="1" applyFont="1" applyBorder="1" applyAlignment="1">
      <alignment/>
    </xf>
    <xf numFmtId="174" fontId="3" fillId="0" borderId="53" xfId="38" applyNumberFormat="1" applyFont="1" applyBorder="1" applyAlignment="1">
      <alignment vertical="center"/>
    </xf>
    <xf numFmtId="166" fontId="4" fillId="0" borderId="54" xfId="38" applyNumberFormat="1" applyFont="1" applyBorder="1" applyAlignment="1">
      <alignment vertical="center"/>
    </xf>
    <xf numFmtId="174" fontId="2" fillId="0" borderId="53" xfId="38" applyNumberFormat="1" applyFont="1" applyBorder="1" applyAlignment="1">
      <alignment vertical="center"/>
    </xf>
    <xf numFmtId="166" fontId="3" fillId="0" borderId="50" xfId="38" applyNumberFormat="1" applyFont="1" applyBorder="1" applyAlignment="1">
      <alignment vertical="center"/>
    </xf>
    <xf numFmtId="174" fontId="3" fillId="0" borderId="26" xfId="38" applyNumberFormat="1" applyFont="1" applyBorder="1" applyAlignment="1">
      <alignment vertical="center"/>
    </xf>
    <xf numFmtId="174" fontId="3" fillId="0" borderId="37" xfId="38" applyNumberFormat="1" applyFont="1" applyBorder="1" applyAlignment="1">
      <alignment vertical="center"/>
    </xf>
    <xf numFmtId="174" fontId="2" fillId="0" borderId="36" xfId="38" applyNumberFormat="1" applyFont="1" applyBorder="1" applyAlignment="1">
      <alignment vertical="center"/>
    </xf>
    <xf numFmtId="166" fontId="8" fillId="0" borderId="51" xfId="38" applyNumberFormat="1" applyFont="1" applyBorder="1" applyAlignment="1">
      <alignment vertical="center"/>
    </xf>
    <xf numFmtId="4" fontId="2" fillId="0" borderId="32" xfId="38" applyNumberFormat="1" applyFont="1" applyBorder="1" applyAlignment="1">
      <alignment vertical="center"/>
    </xf>
    <xf numFmtId="4" fontId="2" fillId="0" borderId="20" xfId="38" applyNumberFormat="1" applyFont="1" applyBorder="1" applyAlignment="1">
      <alignment vertical="center"/>
    </xf>
    <xf numFmtId="4" fontId="6" fillId="0" borderId="22" xfId="38" applyNumberFormat="1" applyFont="1" applyBorder="1" applyAlignment="1">
      <alignment/>
    </xf>
    <xf numFmtId="4" fontId="6" fillId="0" borderId="10" xfId="38" applyNumberFormat="1" applyFont="1" applyBorder="1" applyAlignment="1">
      <alignment/>
    </xf>
    <xf numFmtId="4" fontId="0" fillId="0" borderId="22" xfId="38" applyNumberFormat="1" applyFont="1" applyFill="1" applyBorder="1" applyAlignment="1">
      <alignment/>
    </xf>
    <xf numFmtId="4" fontId="0" fillId="0" borderId="23" xfId="38" applyNumberFormat="1" applyFont="1" applyFill="1" applyBorder="1" applyAlignment="1">
      <alignment/>
    </xf>
    <xf numFmtId="4" fontId="4" fillId="0" borderId="55" xfId="38" applyNumberFormat="1" applyFont="1" applyBorder="1" applyAlignment="1">
      <alignment/>
    </xf>
    <xf numFmtId="4" fontId="4" fillId="0" borderId="42" xfId="38" applyNumberFormat="1" applyFont="1" applyBorder="1" applyAlignment="1">
      <alignment/>
    </xf>
    <xf numFmtId="4" fontId="3" fillId="0" borderId="21" xfId="38" applyNumberFormat="1" applyFont="1" applyBorder="1" applyAlignment="1">
      <alignment vertical="center"/>
    </xf>
    <xf numFmtId="4" fontId="3" fillId="0" borderId="15" xfId="38" applyNumberFormat="1" applyFont="1" applyBorder="1" applyAlignment="1">
      <alignment vertical="center"/>
    </xf>
    <xf numFmtId="4" fontId="4" fillId="0" borderId="21" xfId="38" applyNumberFormat="1" applyFont="1" applyBorder="1" applyAlignment="1">
      <alignment vertical="center"/>
    </xf>
    <xf numFmtId="4" fontId="2" fillId="0" borderId="21" xfId="38" applyNumberFormat="1" applyFont="1" applyBorder="1" applyAlignment="1">
      <alignment vertical="center"/>
    </xf>
    <xf numFmtId="4" fontId="2" fillId="0" borderId="15" xfId="38" applyNumberFormat="1" applyFont="1" applyBorder="1" applyAlignment="1">
      <alignment vertical="center"/>
    </xf>
    <xf numFmtId="4" fontId="3" fillId="0" borderId="19" xfId="38" applyNumberFormat="1" applyFont="1" applyBorder="1" applyAlignment="1">
      <alignment vertical="center"/>
    </xf>
    <xf numFmtId="4" fontId="3" fillId="0" borderId="22" xfId="38" applyNumberFormat="1" applyFont="1" applyBorder="1" applyAlignment="1">
      <alignment vertical="center"/>
    </xf>
    <xf numFmtId="4" fontId="3" fillId="0" borderId="10" xfId="38" applyNumberFormat="1" applyFont="1" applyBorder="1" applyAlignment="1">
      <alignment vertical="center"/>
    </xf>
    <xf numFmtId="4" fontId="3" fillId="0" borderId="32" xfId="38" applyNumberFormat="1" applyFont="1" applyBorder="1" applyAlignment="1">
      <alignment vertical="center"/>
    </xf>
    <xf numFmtId="4" fontId="3" fillId="0" borderId="20" xfId="38" applyNumberFormat="1" applyFont="1" applyBorder="1" applyAlignment="1">
      <alignment vertical="center"/>
    </xf>
    <xf numFmtId="4" fontId="2" fillId="0" borderId="19" xfId="38" applyNumberFormat="1" applyFont="1" applyBorder="1" applyAlignment="1">
      <alignment vertical="center"/>
    </xf>
    <xf numFmtId="4" fontId="2" fillId="0" borderId="17" xfId="38" applyNumberFormat="1" applyFont="1" applyBorder="1" applyAlignment="1">
      <alignment vertical="center"/>
    </xf>
    <xf numFmtId="4" fontId="2" fillId="0" borderId="22" xfId="38" applyNumberFormat="1" applyFont="1" applyBorder="1" applyAlignment="1">
      <alignment vertical="center"/>
    </xf>
    <xf numFmtId="4" fontId="0" fillId="0" borderId="56" xfId="38" applyNumberFormat="1" applyFont="1" applyBorder="1" applyAlignment="1">
      <alignment/>
    </xf>
    <xf numFmtId="4" fontId="0" fillId="0" borderId="57" xfId="38" applyNumberFormat="1" applyFont="1" applyBorder="1" applyAlignment="1">
      <alignment/>
    </xf>
    <xf numFmtId="4" fontId="0" fillId="0" borderId="58" xfId="38" applyNumberFormat="1" applyFont="1" applyBorder="1" applyAlignment="1">
      <alignment/>
    </xf>
    <xf numFmtId="167" fontId="0" fillId="0" borderId="0" xfId="0" applyNumberFormat="1" applyFill="1" applyBorder="1" applyAlignment="1">
      <alignment/>
    </xf>
    <xf numFmtId="174" fontId="4" fillId="0" borderId="14" xfId="38" applyNumberFormat="1" applyFont="1" applyBorder="1" applyAlignment="1">
      <alignment/>
    </xf>
    <xf numFmtId="4" fontId="4" fillId="0" borderId="14" xfId="38" applyNumberFormat="1" applyFont="1" applyBorder="1" applyAlignment="1">
      <alignment/>
    </xf>
    <xf numFmtId="174" fontId="4" fillId="0" borderId="0" xfId="38" applyNumberFormat="1" applyFont="1" applyBorder="1" applyAlignment="1">
      <alignment/>
    </xf>
    <xf numFmtId="4" fontId="4" fillId="0" borderId="0" xfId="38" applyNumberFormat="1" applyFont="1" applyBorder="1" applyAlignment="1">
      <alignment/>
    </xf>
    <xf numFmtId="174" fontId="4" fillId="0" borderId="34" xfId="38" applyNumberFormat="1" applyFont="1" applyBorder="1" applyAlignment="1">
      <alignment/>
    </xf>
    <xf numFmtId="174" fontId="4" fillId="0" borderId="0" xfId="38" applyNumberFormat="1" applyFont="1" applyBorder="1" applyAlignment="1">
      <alignment/>
    </xf>
    <xf numFmtId="174" fontId="6" fillId="0" borderId="0" xfId="38" applyNumberFormat="1" applyFont="1" applyBorder="1" applyAlignment="1">
      <alignment/>
    </xf>
    <xf numFmtId="4" fontId="0" fillId="0" borderId="0" xfId="0" applyNumberFormat="1" applyFill="1" applyAlignment="1">
      <alignment/>
    </xf>
    <xf numFmtId="3" fontId="0" fillId="0" borderId="28" xfId="0" applyFont="1" applyBorder="1" applyAlignment="1">
      <alignment/>
    </xf>
    <xf numFmtId="3" fontId="2" fillId="0" borderId="0" xfId="0" applyFont="1" applyAlignment="1">
      <alignment horizontal="center"/>
    </xf>
    <xf numFmtId="3" fontId="0" fillId="0" borderId="0" xfId="0" applyAlignment="1">
      <alignment/>
    </xf>
    <xf numFmtId="164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3" fontId="4" fillId="0" borderId="31" xfId="0" applyFont="1" applyBorder="1" applyAlignment="1">
      <alignment horizontal="center" vertical="center"/>
    </xf>
    <xf numFmtId="3" fontId="0" fillId="0" borderId="29" xfId="0" applyBorder="1" applyAlignment="1">
      <alignment horizontal="center" vertical="center"/>
    </xf>
    <xf numFmtId="3" fontId="0" fillId="0" borderId="29" xfId="0" applyBorder="1" applyAlignment="1">
      <alignment/>
    </xf>
    <xf numFmtId="3" fontId="7" fillId="0" borderId="40" xfId="0" applyFont="1" applyBorder="1" applyAlignment="1">
      <alignment horizontal="center"/>
    </xf>
    <xf numFmtId="174" fontId="0" fillId="0" borderId="32" xfId="38" applyNumberFormat="1" applyFont="1" applyBorder="1" applyAlignment="1">
      <alignment/>
    </xf>
    <xf numFmtId="174" fontId="0" fillId="0" borderId="20" xfId="38" applyNumberFormat="1" applyFont="1" applyBorder="1" applyAlignment="1">
      <alignment/>
    </xf>
    <xf numFmtId="174" fontId="0" fillId="0" borderId="46" xfId="38" applyNumberFormat="1" applyFont="1" applyBorder="1" applyAlignment="1">
      <alignment/>
    </xf>
    <xf numFmtId="4" fontId="0" fillId="0" borderId="32" xfId="38" applyNumberFormat="1" applyFont="1" applyBorder="1" applyAlignment="1">
      <alignment/>
    </xf>
    <xf numFmtId="4" fontId="0" fillId="0" borderId="20" xfId="38" applyNumberFormat="1" applyFont="1" applyBorder="1" applyAlignment="1">
      <alignment/>
    </xf>
    <xf numFmtId="4" fontId="0" fillId="0" borderId="33" xfId="38" applyNumberFormat="1" applyFont="1" applyBorder="1" applyAlignment="1">
      <alignment/>
    </xf>
    <xf numFmtId="3" fontId="0" fillId="0" borderId="29" xfId="0" applyFont="1" applyBorder="1" applyAlignment="1">
      <alignment/>
    </xf>
    <xf numFmtId="174" fontId="0" fillId="0" borderId="32" xfId="38" applyNumberFormat="1" applyFont="1" applyFill="1" applyBorder="1" applyAlignment="1">
      <alignment/>
    </xf>
    <xf numFmtId="174" fontId="0" fillId="0" borderId="20" xfId="38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7"/>
  <sheetViews>
    <sheetView tabSelected="1" zoomScaleSheetLayoutView="69" zoomScalePageLayoutView="0" workbookViewId="0" topLeftCell="A1">
      <pane xSplit="1" ySplit="9" topLeftCell="C43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S436" sqref="S436"/>
    </sheetView>
  </sheetViews>
  <sheetFormatPr defaultColWidth="9.00390625" defaultRowHeight="12.75"/>
  <cols>
    <col min="1" max="1" width="49.875" style="0" customWidth="1"/>
    <col min="2" max="2" width="10.00390625" style="0" hidden="1" customWidth="1"/>
    <col min="3" max="3" width="15.25390625" style="0" customWidth="1"/>
    <col min="4" max="4" width="15.125" style="0" hidden="1" customWidth="1"/>
    <col min="5" max="5" width="12.875" style="0" hidden="1" customWidth="1"/>
    <col min="6" max="6" width="16.375" style="0" customWidth="1"/>
    <col min="7" max="7" width="12.625" style="0" customWidth="1"/>
    <col min="8" max="8" width="12.75390625" style="0" hidden="1" customWidth="1"/>
    <col min="9" max="9" width="15.75390625" style="0" customWidth="1"/>
    <col min="10" max="11" width="13.75390625" style="0" hidden="1" customWidth="1"/>
    <col min="12" max="12" width="17.00390625" style="0" hidden="1" customWidth="1"/>
    <col min="13" max="13" width="11.875" style="0" hidden="1" customWidth="1"/>
    <col min="14" max="14" width="13.375" style="0" hidden="1" customWidth="1"/>
    <col min="15" max="15" width="15.00390625" style="0" hidden="1" customWidth="1"/>
    <col min="16" max="16" width="13.25390625" style="191" hidden="1" customWidth="1"/>
    <col min="17" max="17" width="15.125" style="0" hidden="1" customWidth="1"/>
  </cols>
  <sheetData>
    <row r="1" spans="3:17" ht="12.75">
      <c r="C1" s="1"/>
      <c r="D1" s="1"/>
      <c r="E1" s="1"/>
      <c r="F1" s="2"/>
      <c r="I1" s="2" t="s">
        <v>176</v>
      </c>
      <c r="L1" s="2"/>
      <c r="O1" s="2"/>
      <c r="Q1" s="2" t="s">
        <v>176</v>
      </c>
    </row>
    <row r="2" spans="3:6" ht="9.75" customHeight="1">
      <c r="C2" s="1"/>
      <c r="D2" s="1"/>
      <c r="E2" s="1"/>
      <c r="F2" s="2"/>
    </row>
    <row r="3" spans="1:17" ht="15.75">
      <c r="A3" s="319" t="s">
        <v>0</v>
      </c>
      <c r="B3" s="319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</row>
    <row r="4" spans="1:17" ht="15.75">
      <c r="A4" s="321" t="s">
        <v>251</v>
      </c>
      <c r="B4" s="321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</row>
    <row r="5" spans="1:17" ht="15">
      <c r="A5" s="322" t="s">
        <v>1</v>
      </c>
      <c r="B5" s="322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</row>
    <row r="6" spans="1:17" ht="12.75">
      <c r="A6" s="323" t="s">
        <v>2</v>
      </c>
      <c r="B6" s="323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</row>
    <row r="7" spans="1:13" ht="18" customHeight="1" thickBot="1">
      <c r="A7" s="3"/>
      <c r="B7" s="3"/>
      <c r="C7" s="4"/>
      <c r="D7" s="4"/>
      <c r="E7" s="4"/>
      <c r="F7" s="4"/>
      <c r="G7" s="73"/>
      <c r="J7" s="81"/>
      <c r="M7" s="73"/>
    </row>
    <row r="8" spans="1:17" ht="12.75">
      <c r="A8" s="324" t="s">
        <v>3</v>
      </c>
      <c r="B8" s="97" t="s">
        <v>261</v>
      </c>
      <c r="C8" s="25" t="s">
        <v>4</v>
      </c>
      <c r="D8" s="26" t="s">
        <v>5</v>
      </c>
      <c r="E8" s="26" t="s">
        <v>6</v>
      </c>
      <c r="F8" s="242" t="s">
        <v>7</v>
      </c>
      <c r="G8" s="25" t="s">
        <v>8</v>
      </c>
      <c r="H8" s="26" t="s">
        <v>6</v>
      </c>
      <c r="I8" s="27" t="s">
        <v>7</v>
      </c>
      <c r="J8" s="263" t="s">
        <v>9</v>
      </c>
      <c r="K8" s="26" t="s">
        <v>6</v>
      </c>
      <c r="L8" s="27" t="s">
        <v>7</v>
      </c>
      <c r="M8" s="25" t="s">
        <v>10</v>
      </c>
      <c r="N8" s="26" t="s">
        <v>6</v>
      </c>
      <c r="O8" s="27" t="s">
        <v>7</v>
      </c>
      <c r="P8" s="192" t="s">
        <v>231</v>
      </c>
      <c r="Q8" s="85" t="s">
        <v>7</v>
      </c>
    </row>
    <row r="9" spans="1:17" ht="13.5" thickBot="1">
      <c r="A9" s="325"/>
      <c r="B9" s="98" t="s">
        <v>262</v>
      </c>
      <c r="C9" s="69" t="s">
        <v>11</v>
      </c>
      <c r="D9" s="70" t="s">
        <v>12</v>
      </c>
      <c r="E9" s="70" t="s">
        <v>13</v>
      </c>
      <c r="F9" s="243" t="s">
        <v>14</v>
      </c>
      <c r="G9" s="69" t="s">
        <v>12</v>
      </c>
      <c r="H9" s="70" t="s">
        <v>13</v>
      </c>
      <c r="I9" s="71" t="s">
        <v>15</v>
      </c>
      <c r="J9" s="264" t="s">
        <v>12</v>
      </c>
      <c r="K9" s="70" t="s">
        <v>13</v>
      </c>
      <c r="L9" s="71" t="s">
        <v>16</v>
      </c>
      <c r="M9" s="69" t="s">
        <v>12</v>
      </c>
      <c r="N9" s="70" t="s">
        <v>13</v>
      </c>
      <c r="O9" s="71" t="s">
        <v>17</v>
      </c>
      <c r="P9" s="193" t="s">
        <v>12</v>
      </c>
      <c r="Q9" s="86" t="s">
        <v>232</v>
      </c>
    </row>
    <row r="10" spans="1:17" ht="15.75" customHeight="1">
      <c r="A10" s="67" t="s">
        <v>18</v>
      </c>
      <c r="B10" s="99"/>
      <c r="C10" s="38"/>
      <c r="D10" s="5"/>
      <c r="E10" s="5"/>
      <c r="F10" s="244"/>
      <c r="G10" s="38"/>
      <c r="H10" s="5"/>
      <c r="I10" s="68"/>
      <c r="J10" s="265"/>
      <c r="K10" s="5"/>
      <c r="L10" s="68"/>
      <c r="M10" s="38"/>
      <c r="N10" s="5"/>
      <c r="O10" s="68"/>
      <c r="P10" s="194"/>
      <c r="Q10" s="89"/>
    </row>
    <row r="11" spans="1:17" ht="12.75">
      <c r="A11" s="41" t="s">
        <v>19</v>
      </c>
      <c r="B11" s="100"/>
      <c r="C11" s="123">
        <v>3019900</v>
      </c>
      <c r="D11" s="124">
        <v>24721.7</v>
      </c>
      <c r="E11" s="124"/>
      <c r="F11" s="245">
        <f>C11+D11+E11</f>
        <v>3044621.7</v>
      </c>
      <c r="G11" s="204">
        <v>12396.2</v>
      </c>
      <c r="H11" s="205"/>
      <c r="I11" s="206">
        <f>F11+G11+H11</f>
        <v>3057017.9000000004</v>
      </c>
      <c r="J11" s="266"/>
      <c r="K11" s="6"/>
      <c r="L11" s="29">
        <f>I11+J11+K11</f>
        <v>3057017.9000000004</v>
      </c>
      <c r="M11" s="28"/>
      <c r="N11" s="6"/>
      <c r="O11" s="29">
        <f>L11+M11+N11</f>
        <v>3057017.9000000004</v>
      </c>
      <c r="P11" s="195"/>
      <c r="Q11" s="90">
        <f>O11+P11</f>
        <v>3057017.9000000004</v>
      </c>
    </row>
    <row r="12" spans="1:17" ht="12.75">
      <c r="A12" s="42" t="s">
        <v>20</v>
      </c>
      <c r="B12" s="101"/>
      <c r="C12" s="123"/>
      <c r="D12" s="124"/>
      <c r="E12" s="124"/>
      <c r="F12" s="245"/>
      <c r="G12" s="204"/>
      <c r="H12" s="205"/>
      <c r="I12" s="206"/>
      <c r="J12" s="266"/>
      <c r="K12" s="6"/>
      <c r="L12" s="29"/>
      <c r="M12" s="28"/>
      <c r="N12" s="6"/>
      <c r="O12" s="29"/>
      <c r="P12" s="195"/>
      <c r="Q12" s="91"/>
    </row>
    <row r="13" spans="1:17" ht="12.75">
      <c r="A13" s="43" t="s">
        <v>21</v>
      </c>
      <c r="B13" s="102"/>
      <c r="C13" s="123"/>
      <c r="D13" s="126">
        <v>24721.7</v>
      </c>
      <c r="E13" s="126"/>
      <c r="F13" s="246">
        <f>C13+D13+E13</f>
        <v>24721.7</v>
      </c>
      <c r="G13" s="207"/>
      <c r="H13" s="205"/>
      <c r="I13" s="208">
        <f>F13+G13+H13</f>
        <v>24721.7</v>
      </c>
      <c r="J13" s="267"/>
      <c r="K13" s="6"/>
      <c r="L13" s="31">
        <f>I13+J13+K13</f>
        <v>24721.7</v>
      </c>
      <c r="M13" s="30"/>
      <c r="N13" s="6"/>
      <c r="O13" s="31">
        <f>L13+M13+N13</f>
        <v>24721.7</v>
      </c>
      <c r="P13" s="195"/>
      <c r="Q13" s="91">
        <f aca="true" t="shared" si="0" ref="Q13:Q79">O13+P13</f>
        <v>24721.7</v>
      </c>
    </row>
    <row r="14" spans="1:17" ht="12.75">
      <c r="A14" s="41" t="s">
        <v>22</v>
      </c>
      <c r="B14" s="100"/>
      <c r="C14" s="123">
        <f>SUM(C16:C34)</f>
        <v>242944.40000000002</v>
      </c>
      <c r="D14" s="124">
        <f aca="true" t="shared" si="1" ref="D14:Q14">SUM(D16:D34)</f>
        <v>18.990000000000002</v>
      </c>
      <c r="E14" s="124">
        <f t="shared" si="1"/>
        <v>727.7</v>
      </c>
      <c r="F14" s="245">
        <f t="shared" si="1"/>
        <v>243691.09</v>
      </c>
      <c r="G14" s="204">
        <f t="shared" si="1"/>
        <v>37994.439999999995</v>
      </c>
      <c r="H14" s="205">
        <f t="shared" si="1"/>
        <v>0</v>
      </c>
      <c r="I14" s="206">
        <f t="shared" si="1"/>
        <v>281685.53</v>
      </c>
      <c r="J14" s="268">
        <f t="shared" si="1"/>
        <v>0</v>
      </c>
      <c r="K14" s="125">
        <f t="shared" si="1"/>
        <v>0</v>
      </c>
      <c r="L14" s="125">
        <f t="shared" si="1"/>
        <v>281223.61</v>
      </c>
      <c r="M14" s="125">
        <f t="shared" si="1"/>
        <v>0</v>
      </c>
      <c r="N14" s="125">
        <f t="shared" si="1"/>
        <v>0</v>
      </c>
      <c r="O14" s="125">
        <f t="shared" si="1"/>
        <v>281223.61</v>
      </c>
      <c r="P14" s="196">
        <f t="shared" si="1"/>
        <v>0</v>
      </c>
      <c r="Q14" s="125">
        <f t="shared" si="1"/>
        <v>281223.61</v>
      </c>
    </row>
    <row r="15" spans="1:17" ht="10.5" customHeight="1">
      <c r="A15" s="42" t="s">
        <v>23</v>
      </c>
      <c r="B15" s="101"/>
      <c r="C15" s="123"/>
      <c r="D15" s="124"/>
      <c r="E15" s="124"/>
      <c r="F15" s="245"/>
      <c r="G15" s="204"/>
      <c r="H15" s="205"/>
      <c r="I15" s="206"/>
      <c r="J15" s="266"/>
      <c r="K15" s="6"/>
      <c r="L15" s="29"/>
      <c r="M15" s="28"/>
      <c r="N15" s="6"/>
      <c r="O15" s="29"/>
      <c r="P15" s="195"/>
      <c r="Q15" s="91"/>
    </row>
    <row r="16" spans="1:17" ht="12.75">
      <c r="A16" s="43" t="s">
        <v>24</v>
      </c>
      <c r="B16" s="102"/>
      <c r="C16" s="128">
        <v>4000</v>
      </c>
      <c r="D16" s="126"/>
      <c r="E16" s="126"/>
      <c r="F16" s="246">
        <f>C16+D16+E16</f>
        <v>4000</v>
      </c>
      <c r="G16" s="207">
        <v>10</v>
      </c>
      <c r="H16" s="209"/>
      <c r="I16" s="208">
        <f>F16+G16+H16</f>
        <v>4010</v>
      </c>
      <c r="J16" s="267"/>
      <c r="K16" s="7"/>
      <c r="L16" s="31">
        <f>I16+J16+K16</f>
        <v>4010</v>
      </c>
      <c r="M16" s="30"/>
      <c r="N16" s="7"/>
      <c r="O16" s="31">
        <f>L16+M16+N16</f>
        <v>4010</v>
      </c>
      <c r="P16" s="195"/>
      <c r="Q16" s="91">
        <f t="shared" si="0"/>
        <v>4010</v>
      </c>
    </row>
    <row r="17" spans="1:17" ht="12.75">
      <c r="A17" s="43" t="s">
        <v>25</v>
      </c>
      <c r="B17" s="102"/>
      <c r="C17" s="128"/>
      <c r="D17" s="126"/>
      <c r="E17" s="126"/>
      <c r="F17" s="246">
        <f aca="true" t="shared" si="2" ref="F17:F33">C17+D17+E17</f>
        <v>0</v>
      </c>
      <c r="G17" s="207">
        <v>35000</v>
      </c>
      <c r="H17" s="209"/>
      <c r="I17" s="208">
        <f aca="true" t="shared" si="3" ref="I17:I33">F17+G17+H17</f>
        <v>35000</v>
      </c>
      <c r="J17" s="267"/>
      <c r="K17" s="7"/>
      <c r="L17" s="31">
        <f aca="true" t="shared" si="4" ref="L17:L33">I17+J17+K17</f>
        <v>35000</v>
      </c>
      <c r="M17" s="30"/>
      <c r="N17" s="7"/>
      <c r="O17" s="31">
        <f aca="true" t="shared" si="5" ref="O17:O33">L17+M17+N17</f>
        <v>35000</v>
      </c>
      <c r="P17" s="195"/>
      <c r="Q17" s="91">
        <f t="shared" si="0"/>
        <v>35000</v>
      </c>
    </row>
    <row r="18" spans="1:17" ht="12.75" hidden="1">
      <c r="A18" s="43" t="s">
        <v>26</v>
      </c>
      <c r="B18" s="102"/>
      <c r="C18" s="128"/>
      <c r="D18" s="126"/>
      <c r="E18" s="126"/>
      <c r="F18" s="246">
        <f t="shared" si="2"/>
        <v>0</v>
      </c>
      <c r="G18" s="207"/>
      <c r="H18" s="209"/>
      <c r="I18" s="208">
        <f t="shared" si="3"/>
        <v>0</v>
      </c>
      <c r="J18" s="267"/>
      <c r="K18" s="7"/>
      <c r="L18" s="31">
        <f t="shared" si="4"/>
        <v>0</v>
      </c>
      <c r="M18" s="30"/>
      <c r="N18" s="7"/>
      <c r="O18" s="31">
        <f t="shared" si="5"/>
        <v>0</v>
      </c>
      <c r="P18" s="195"/>
      <c r="Q18" s="91">
        <f t="shared" si="0"/>
        <v>0</v>
      </c>
    </row>
    <row r="19" spans="1:17" ht="12.75" hidden="1">
      <c r="A19" s="43" t="s">
        <v>27</v>
      </c>
      <c r="B19" s="102"/>
      <c r="C19" s="128"/>
      <c r="D19" s="126"/>
      <c r="E19" s="126"/>
      <c r="F19" s="246">
        <f t="shared" si="2"/>
        <v>0</v>
      </c>
      <c r="G19" s="207"/>
      <c r="H19" s="209"/>
      <c r="I19" s="208">
        <f t="shared" si="3"/>
        <v>0</v>
      </c>
      <c r="J19" s="267"/>
      <c r="K19" s="7"/>
      <c r="L19" s="31">
        <f t="shared" si="4"/>
        <v>0</v>
      </c>
      <c r="M19" s="30"/>
      <c r="N19" s="7"/>
      <c r="O19" s="31">
        <f t="shared" si="5"/>
        <v>0</v>
      </c>
      <c r="P19" s="195"/>
      <c r="Q19" s="91">
        <f t="shared" si="0"/>
        <v>0</v>
      </c>
    </row>
    <row r="20" spans="1:17" ht="12.75">
      <c r="A20" s="43" t="s">
        <v>28</v>
      </c>
      <c r="B20" s="102"/>
      <c r="C20" s="128">
        <v>45000</v>
      </c>
      <c r="D20" s="126"/>
      <c r="E20" s="126"/>
      <c r="F20" s="246">
        <f t="shared" si="2"/>
        <v>45000</v>
      </c>
      <c r="G20" s="207"/>
      <c r="H20" s="209"/>
      <c r="I20" s="208">
        <f t="shared" si="3"/>
        <v>45000</v>
      </c>
      <c r="J20" s="267"/>
      <c r="K20" s="7"/>
      <c r="L20" s="31">
        <f t="shared" si="4"/>
        <v>45000</v>
      </c>
      <c r="M20" s="30"/>
      <c r="N20" s="7"/>
      <c r="O20" s="31">
        <f t="shared" si="5"/>
        <v>45000</v>
      </c>
      <c r="P20" s="195"/>
      <c r="Q20" s="91">
        <f t="shared" si="0"/>
        <v>45000</v>
      </c>
    </row>
    <row r="21" spans="1:17" ht="12.75">
      <c r="A21" s="43" t="s">
        <v>30</v>
      </c>
      <c r="B21" s="102"/>
      <c r="C21" s="128"/>
      <c r="D21" s="126">
        <v>11.99</v>
      </c>
      <c r="E21" s="126"/>
      <c r="F21" s="246">
        <f t="shared" si="2"/>
        <v>11.99</v>
      </c>
      <c r="G21" s="207">
        <f>11.09+246.3+312.92+151.52+154.86+11.67+8.73</f>
        <v>897.0899999999999</v>
      </c>
      <c r="H21" s="209"/>
      <c r="I21" s="208">
        <f t="shared" si="3"/>
        <v>909.0799999999999</v>
      </c>
      <c r="J21" s="267"/>
      <c r="K21" s="7"/>
      <c r="L21" s="31">
        <f t="shared" si="4"/>
        <v>909.0799999999999</v>
      </c>
      <c r="M21" s="30"/>
      <c r="N21" s="7"/>
      <c r="O21" s="31">
        <f t="shared" si="5"/>
        <v>909.0799999999999</v>
      </c>
      <c r="P21" s="195"/>
      <c r="Q21" s="91">
        <f t="shared" si="0"/>
        <v>909.0799999999999</v>
      </c>
    </row>
    <row r="22" spans="1:17" ht="12.75">
      <c r="A22" s="44" t="s">
        <v>185</v>
      </c>
      <c r="B22" s="103"/>
      <c r="C22" s="128">
        <v>20975.3</v>
      </c>
      <c r="D22" s="126"/>
      <c r="E22" s="126"/>
      <c r="F22" s="246">
        <f t="shared" si="2"/>
        <v>20975.3</v>
      </c>
      <c r="G22" s="207"/>
      <c r="H22" s="209"/>
      <c r="I22" s="208">
        <f t="shared" si="3"/>
        <v>20975.3</v>
      </c>
      <c r="J22" s="267"/>
      <c r="K22" s="7"/>
      <c r="L22" s="31">
        <f t="shared" si="4"/>
        <v>20975.3</v>
      </c>
      <c r="M22" s="30"/>
      <c r="N22" s="7"/>
      <c r="O22" s="31">
        <f t="shared" si="5"/>
        <v>20975.3</v>
      </c>
      <c r="P22" s="195"/>
      <c r="Q22" s="91">
        <f t="shared" si="0"/>
        <v>20975.3</v>
      </c>
    </row>
    <row r="23" spans="1:17" ht="12.75">
      <c r="A23" s="44" t="s">
        <v>201</v>
      </c>
      <c r="B23" s="103"/>
      <c r="C23" s="128">
        <v>57525.8</v>
      </c>
      <c r="D23" s="126"/>
      <c r="E23" s="126"/>
      <c r="F23" s="246">
        <f t="shared" si="2"/>
        <v>57525.8</v>
      </c>
      <c r="G23" s="207"/>
      <c r="H23" s="209"/>
      <c r="I23" s="208">
        <f t="shared" si="3"/>
        <v>57525.8</v>
      </c>
      <c r="J23" s="267"/>
      <c r="K23" s="7"/>
      <c r="L23" s="31">
        <f t="shared" si="4"/>
        <v>57525.8</v>
      </c>
      <c r="M23" s="30"/>
      <c r="N23" s="7"/>
      <c r="O23" s="31">
        <f t="shared" si="5"/>
        <v>57525.8</v>
      </c>
      <c r="P23" s="195"/>
      <c r="Q23" s="91">
        <f t="shared" si="0"/>
        <v>57525.8</v>
      </c>
    </row>
    <row r="24" spans="1:17" ht="12.75" hidden="1">
      <c r="A24" s="44" t="s">
        <v>29</v>
      </c>
      <c r="B24" s="103"/>
      <c r="C24" s="128"/>
      <c r="D24" s="126"/>
      <c r="E24" s="126"/>
      <c r="F24" s="246">
        <f t="shared" si="2"/>
        <v>0</v>
      </c>
      <c r="G24" s="207"/>
      <c r="H24" s="209"/>
      <c r="I24" s="208">
        <f t="shared" si="3"/>
        <v>0</v>
      </c>
      <c r="J24" s="267"/>
      <c r="K24" s="7"/>
      <c r="L24" s="31">
        <f t="shared" si="4"/>
        <v>0</v>
      </c>
      <c r="M24" s="39"/>
      <c r="N24" s="7"/>
      <c r="O24" s="31">
        <f t="shared" si="5"/>
        <v>0</v>
      </c>
      <c r="P24" s="195"/>
      <c r="Q24" s="91">
        <f t="shared" si="0"/>
        <v>0</v>
      </c>
    </row>
    <row r="25" spans="1:17" ht="12.75" hidden="1">
      <c r="A25" s="44" t="s">
        <v>225</v>
      </c>
      <c r="B25" s="103"/>
      <c r="C25" s="128"/>
      <c r="D25" s="126"/>
      <c r="E25" s="126"/>
      <c r="F25" s="246">
        <f t="shared" si="2"/>
        <v>0</v>
      </c>
      <c r="G25" s="207"/>
      <c r="H25" s="209"/>
      <c r="I25" s="208">
        <f t="shared" si="3"/>
        <v>0</v>
      </c>
      <c r="J25" s="267"/>
      <c r="K25" s="7"/>
      <c r="L25" s="31">
        <f t="shared" si="4"/>
        <v>0</v>
      </c>
      <c r="M25" s="30"/>
      <c r="N25" s="7"/>
      <c r="O25" s="31">
        <f t="shared" si="5"/>
        <v>0</v>
      </c>
      <c r="P25" s="195"/>
      <c r="Q25" s="91">
        <f t="shared" si="0"/>
        <v>0</v>
      </c>
    </row>
    <row r="26" spans="1:17" ht="12.75">
      <c r="A26" s="44" t="s">
        <v>202</v>
      </c>
      <c r="B26" s="103"/>
      <c r="C26" s="128"/>
      <c r="D26" s="126"/>
      <c r="E26" s="126"/>
      <c r="F26" s="246">
        <f t="shared" si="2"/>
        <v>0</v>
      </c>
      <c r="G26" s="207">
        <f>236+200</f>
        <v>436</v>
      </c>
      <c r="H26" s="209"/>
      <c r="I26" s="208">
        <f t="shared" si="3"/>
        <v>436</v>
      </c>
      <c r="J26" s="267"/>
      <c r="K26" s="7"/>
      <c r="L26" s="31">
        <f t="shared" si="4"/>
        <v>436</v>
      </c>
      <c r="M26" s="30"/>
      <c r="N26" s="7"/>
      <c r="O26" s="31">
        <f t="shared" si="5"/>
        <v>436</v>
      </c>
      <c r="P26" s="195"/>
      <c r="Q26" s="91">
        <f t="shared" si="0"/>
        <v>436</v>
      </c>
    </row>
    <row r="27" spans="1:17" ht="12.75">
      <c r="A27" s="44" t="s">
        <v>353</v>
      </c>
      <c r="B27" s="103"/>
      <c r="C27" s="128"/>
      <c r="D27" s="126"/>
      <c r="E27" s="126"/>
      <c r="F27" s="246">
        <f t="shared" si="2"/>
        <v>0</v>
      </c>
      <c r="G27" s="207">
        <f>107.35+5.37</f>
        <v>112.72</v>
      </c>
      <c r="H27" s="209"/>
      <c r="I27" s="208">
        <f t="shared" si="3"/>
        <v>112.72</v>
      </c>
      <c r="J27" s="267"/>
      <c r="K27" s="7"/>
      <c r="L27" s="31"/>
      <c r="M27" s="30"/>
      <c r="N27" s="7"/>
      <c r="O27" s="31"/>
      <c r="P27" s="195"/>
      <c r="Q27" s="91"/>
    </row>
    <row r="28" spans="1:17" ht="12.75" hidden="1">
      <c r="A28" s="44" t="s">
        <v>203</v>
      </c>
      <c r="B28" s="103"/>
      <c r="C28" s="128"/>
      <c r="D28" s="126"/>
      <c r="E28" s="126"/>
      <c r="F28" s="246">
        <f t="shared" si="2"/>
        <v>0</v>
      </c>
      <c r="G28" s="207"/>
      <c r="H28" s="209"/>
      <c r="I28" s="208">
        <f t="shared" si="3"/>
        <v>0</v>
      </c>
      <c r="J28" s="267"/>
      <c r="K28" s="7"/>
      <c r="L28" s="31">
        <f t="shared" si="4"/>
        <v>0</v>
      </c>
      <c r="M28" s="30"/>
      <c r="N28" s="7"/>
      <c r="O28" s="31">
        <f t="shared" si="5"/>
        <v>0</v>
      </c>
      <c r="P28" s="195"/>
      <c r="Q28" s="91">
        <f t="shared" si="0"/>
        <v>0</v>
      </c>
    </row>
    <row r="29" spans="1:17" ht="12.75">
      <c r="A29" s="44" t="s">
        <v>358</v>
      </c>
      <c r="B29" s="103"/>
      <c r="C29" s="128"/>
      <c r="D29" s="126"/>
      <c r="E29" s="126"/>
      <c r="F29" s="246">
        <f t="shared" si="2"/>
        <v>0</v>
      </c>
      <c r="G29" s="207">
        <v>77.48</v>
      </c>
      <c r="H29" s="209"/>
      <c r="I29" s="208">
        <f t="shared" si="3"/>
        <v>77.48</v>
      </c>
      <c r="J29" s="267"/>
      <c r="K29" s="7"/>
      <c r="L29" s="31">
        <f t="shared" si="4"/>
        <v>77.48</v>
      </c>
      <c r="M29" s="30"/>
      <c r="N29" s="7"/>
      <c r="O29" s="31">
        <f t="shared" si="5"/>
        <v>77.48</v>
      </c>
      <c r="P29" s="195"/>
      <c r="Q29" s="91">
        <f t="shared" si="0"/>
        <v>77.48</v>
      </c>
    </row>
    <row r="30" spans="1:17" ht="12.75">
      <c r="A30" s="44" t="s">
        <v>204</v>
      </c>
      <c r="B30" s="103"/>
      <c r="C30" s="128"/>
      <c r="D30" s="126">
        <v>7</v>
      </c>
      <c r="E30" s="126"/>
      <c r="F30" s="246">
        <f t="shared" si="2"/>
        <v>7</v>
      </c>
      <c r="G30" s="207">
        <f>24.2+796.25</f>
        <v>820.45</v>
      </c>
      <c r="H30" s="209"/>
      <c r="I30" s="208">
        <f t="shared" si="3"/>
        <v>827.45</v>
      </c>
      <c r="J30" s="267"/>
      <c r="K30" s="7"/>
      <c r="L30" s="31">
        <f t="shared" si="4"/>
        <v>827.45</v>
      </c>
      <c r="M30" s="30"/>
      <c r="N30" s="7"/>
      <c r="O30" s="31">
        <f t="shared" si="5"/>
        <v>827.45</v>
      </c>
      <c r="P30" s="195"/>
      <c r="Q30" s="91">
        <f t="shared" si="0"/>
        <v>827.45</v>
      </c>
    </row>
    <row r="31" spans="1:17" ht="12.75" hidden="1">
      <c r="A31" s="44" t="s">
        <v>192</v>
      </c>
      <c r="B31" s="103"/>
      <c r="C31" s="128"/>
      <c r="D31" s="126"/>
      <c r="E31" s="126"/>
      <c r="F31" s="246">
        <f t="shared" si="2"/>
        <v>0</v>
      </c>
      <c r="G31" s="207"/>
      <c r="H31" s="209"/>
      <c r="I31" s="208">
        <f t="shared" si="3"/>
        <v>0</v>
      </c>
      <c r="J31" s="267"/>
      <c r="K31" s="7"/>
      <c r="L31" s="31">
        <f t="shared" si="4"/>
        <v>0</v>
      </c>
      <c r="M31" s="30"/>
      <c r="N31" s="7"/>
      <c r="O31" s="31">
        <f t="shared" si="5"/>
        <v>0</v>
      </c>
      <c r="P31" s="195"/>
      <c r="Q31" s="91">
        <f t="shared" si="0"/>
        <v>0</v>
      </c>
    </row>
    <row r="32" spans="1:17" ht="12.75" hidden="1">
      <c r="A32" s="44" t="s">
        <v>205</v>
      </c>
      <c r="B32" s="103"/>
      <c r="C32" s="128"/>
      <c r="D32" s="126"/>
      <c r="E32" s="126"/>
      <c r="F32" s="246">
        <f t="shared" si="2"/>
        <v>0</v>
      </c>
      <c r="G32" s="207"/>
      <c r="H32" s="209"/>
      <c r="I32" s="208">
        <f t="shared" si="3"/>
        <v>0</v>
      </c>
      <c r="J32" s="267"/>
      <c r="K32" s="7"/>
      <c r="L32" s="31">
        <f t="shared" si="4"/>
        <v>0</v>
      </c>
      <c r="M32" s="30"/>
      <c r="N32" s="7"/>
      <c r="O32" s="31">
        <f t="shared" si="5"/>
        <v>0</v>
      </c>
      <c r="P32" s="195"/>
      <c r="Q32" s="91">
        <f t="shared" si="0"/>
        <v>0</v>
      </c>
    </row>
    <row r="33" spans="1:17" ht="12.75" hidden="1">
      <c r="A33" s="44" t="s">
        <v>206</v>
      </c>
      <c r="B33" s="103"/>
      <c r="C33" s="128"/>
      <c r="D33" s="126"/>
      <c r="E33" s="126"/>
      <c r="F33" s="246">
        <f t="shared" si="2"/>
        <v>0</v>
      </c>
      <c r="G33" s="207"/>
      <c r="H33" s="209"/>
      <c r="I33" s="208">
        <f t="shared" si="3"/>
        <v>0</v>
      </c>
      <c r="J33" s="267"/>
      <c r="K33" s="7"/>
      <c r="L33" s="31">
        <f t="shared" si="4"/>
        <v>0</v>
      </c>
      <c r="M33" s="30"/>
      <c r="N33" s="7"/>
      <c r="O33" s="31">
        <f t="shared" si="5"/>
        <v>0</v>
      </c>
      <c r="P33" s="195"/>
      <c r="Q33" s="91">
        <f t="shared" si="0"/>
        <v>0</v>
      </c>
    </row>
    <row r="34" spans="1:17" ht="12.75">
      <c r="A34" s="43" t="s">
        <v>31</v>
      </c>
      <c r="B34" s="102"/>
      <c r="C34" s="128">
        <f>SUM(C35:C40)</f>
        <v>115443.3</v>
      </c>
      <c r="D34" s="126">
        <f>SUM(D35:D39)</f>
        <v>0</v>
      </c>
      <c r="E34" s="126">
        <f>SUM(E35:E39)</f>
        <v>727.7</v>
      </c>
      <c r="F34" s="246">
        <f>SUM(F35:F40)</f>
        <v>116171</v>
      </c>
      <c r="G34" s="207">
        <f>SUM(G35:G40)</f>
        <v>640.7</v>
      </c>
      <c r="H34" s="209">
        <f>SUM(H35:H40)</f>
        <v>0</v>
      </c>
      <c r="I34" s="208">
        <f>SUM(I35:I40)</f>
        <v>116811.7</v>
      </c>
      <c r="J34" s="269">
        <f aca="true" t="shared" si="6" ref="J34:Q34">SUM(J35:J39)</f>
        <v>0</v>
      </c>
      <c r="K34" s="127">
        <f t="shared" si="6"/>
        <v>0</v>
      </c>
      <c r="L34" s="127">
        <f t="shared" si="6"/>
        <v>116462.5</v>
      </c>
      <c r="M34" s="127">
        <f t="shared" si="6"/>
        <v>0</v>
      </c>
      <c r="N34" s="127">
        <f t="shared" si="6"/>
        <v>0</v>
      </c>
      <c r="O34" s="127">
        <f t="shared" si="6"/>
        <v>116462.5</v>
      </c>
      <c r="P34" s="197">
        <f t="shared" si="6"/>
        <v>0</v>
      </c>
      <c r="Q34" s="127">
        <f t="shared" si="6"/>
        <v>116462.5</v>
      </c>
    </row>
    <row r="35" spans="1:17" ht="12.75">
      <c r="A35" s="43" t="s">
        <v>32</v>
      </c>
      <c r="B35" s="102"/>
      <c r="C35" s="128">
        <v>40481</v>
      </c>
      <c r="D35" s="126"/>
      <c r="E35" s="126">
        <v>727.7</v>
      </c>
      <c r="F35" s="246">
        <f aca="true" t="shared" si="7" ref="F35:F40">C35+D35+E35</f>
        <v>41208.7</v>
      </c>
      <c r="G35" s="207"/>
      <c r="H35" s="209"/>
      <c r="I35" s="208">
        <f aca="true" t="shared" si="8" ref="I35:I40">F35+G35+H35</f>
        <v>41208.7</v>
      </c>
      <c r="J35" s="267"/>
      <c r="K35" s="7"/>
      <c r="L35" s="31">
        <f>I35+J35+K35</f>
        <v>41208.7</v>
      </c>
      <c r="M35" s="30"/>
      <c r="N35" s="7"/>
      <c r="O35" s="31">
        <f>L35+M35+N35</f>
        <v>41208.7</v>
      </c>
      <c r="P35" s="195"/>
      <c r="Q35" s="91">
        <f t="shared" si="0"/>
        <v>41208.7</v>
      </c>
    </row>
    <row r="36" spans="1:17" ht="12.75">
      <c r="A36" s="44" t="s">
        <v>207</v>
      </c>
      <c r="B36" s="103"/>
      <c r="C36" s="128">
        <v>9278</v>
      </c>
      <c r="D36" s="126"/>
      <c r="E36" s="126"/>
      <c r="F36" s="246">
        <f t="shared" si="7"/>
        <v>9278</v>
      </c>
      <c r="G36" s="207"/>
      <c r="H36" s="209"/>
      <c r="I36" s="208">
        <f t="shared" si="8"/>
        <v>9278</v>
      </c>
      <c r="J36" s="267"/>
      <c r="K36" s="7"/>
      <c r="L36" s="31">
        <f>I36+J36+K36</f>
        <v>9278</v>
      </c>
      <c r="M36" s="30"/>
      <c r="N36" s="7"/>
      <c r="O36" s="31">
        <f>L36+M36+N36</f>
        <v>9278</v>
      </c>
      <c r="P36" s="195"/>
      <c r="Q36" s="91">
        <f t="shared" si="0"/>
        <v>9278</v>
      </c>
    </row>
    <row r="37" spans="1:17" ht="12.75">
      <c r="A37" s="43" t="s">
        <v>33</v>
      </c>
      <c r="B37" s="102"/>
      <c r="C37" s="128">
        <v>21188</v>
      </c>
      <c r="D37" s="126"/>
      <c r="E37" s="126"/>
      <c r="F37" s="246">
        <f t="shared" si="7"/>
        <v>21188</v>
      </c>
      <c r="G37" s="207"/>
      <c r="H37" s="209"/>
      <c r="I37" s="208">
        <f t="shared" si="8"/>
        <v>21188</v>
      </c>
      <c r="J37" s="267"/>
      <c r="K37" s="7"/>
      <c r="L37" s="31">
        <f>I37+J37+K37</f>
        <v>21188</v>
      </c>
      <c r="M37" s="30"/>
      <c r="N37" s="7"/>
      <c r="O37" s="31">
        <f>L37+M37+N37</f>
        <v>21188</v>
      </c>
      <c r="P37" s="195"/>
      <c r="Q37" s="91">
        <f t="shared" si="0"/>
        <v>21188</v>
      </c>
    </row>
    <row r="38" spans="1:17" ht="12.75">
      <c r="A38" s="44" t="s">
        <v>208</v>
      </c>
      <c r="B38" s="103"/>
      <c r="C38" s="128">
        <v>10477.3</v>
      </c>
      <c r="D38" s="126"/>
      <c r="E38" s="126"/>
      <c r="F38" s="246">
        <f t="shared" si="7"/>
        <v>10477.3</v>
      </c>
      <c r="G38" s="207">
        <v>291.5</v>
      </c>
      <c r="H38" s="209"/>
      <c r="I38" s="208">
        <f t="shared" si="8"/>
        <v>10768.8</v>
      </c>
      <c r="J38" s="267"/>
      <c r="K38" s="7"/>
      <c r="L38" s="31">
        <f>I38+J38+K38</f>
        <v>10768.8</v>
      </c>
      <c r="M38" s="30"/>
      <c r="N38" s="7"/>
      <c r="O38" s="31">
        <f>L38+M38+N38</f>
        <v>10768.8</v>
      </c>
      <c r="P38" s="195"/>
      <c r="Q38" s="91">
        <f t="shared" si="0"/>
        <v>10768.8</v>
      </c>
    </row>
    <row r="39" spans="1:17" ht="12.75">
      <c r="A39" s="44" t="s">
        <v>209</v>
      </c>
      <c r="B39" s="103"/>
      <c r="C39" s="128">
        <v>34019</v>
      </c>
      <c r="D39" s="126"/>
      <c r="E39" s="126"/>
      <c r="F39" s="246">
        <f t="shared" si="7"/>
        <v>34019</v>
      </c>
      <c r="G39" s="207"/>
      <c r="H39" s="209"/>
      <c r="I39" s="208">
        <f t="shared" si="8"/>
        <v>34019</v>
      </c>
      <c r="J39" s="267"/>
      <c r="K39" s="7"/>
      <c r="L39" s="31">
        <f>I39+J39+K39</f>
        <v>34019</v>
      </c>
      <c r="M39" s="30"/>
      <c r="N39" s="7"/>
      <c r="O39" s="31">
        <f>L39+M39+N39</f>
        <v>34019</v>
      </c>
      <c r="P39" s="195"/>
      <c r="Q39" s="91">
        <f t="shared" si="0"/>
        <v>34019</v>
      </c>
    </row>
    <row r="40" spans="1:17" ht="12.75">
      <c r="A40" s="44" t="s">
        <v>359</v>
      </c>
      <c r="B40" s="103"/>
      <c r="C40" s="128"/>
      <c r="D40" s="126"/>
      <c r="E40" s="126"/>
      <c r="F40" s="246">
        <f t="shared" si="7"/>
        <v>0</v>
      </c>
      <c r="G40" s="207">
        <v>349.2</v>
      </c>
      <c r="H40" s="209"/>
      <c r="I40" s="208">
        <f t="shared" si="8"/>
        <v>349.2</v>
      </c>
      <c r="J40" s="94"/>
      <c r="K40" s="11"/>
      <c r="L40" s="31"/>
      <c r="M40" s="94"/>
      <c r="N40" s="11"/>
      <c r="O40" s="31"/>
      <c r="P40" s="309"/>
      <c r="Q40" s="91"/>
    </row>
    <row r="41" spans="1:17" ht="12.75">
      <c r="A41" s="45" t="s">
        <v>34</v>
      </c>
      <c r="B41" s="104"/>
      <c r="C41" s="129">
        <f>SUM(C43:C46)</f>
        <v>0</v>
      </c>
      <c r="D41" s="130">
        <f>SUM(D43:D46)</f>
        <v>0</v>
      </c>
      <c r="E41" s="130"/>
      <c r="F41" s="247">
        <f>SUM(F43:F46)</f>
        <v>0</v>
      </c>
      <c r="G41" s="211">
        <f aca="true" t="shared" si="9" ref="G41:Q41">SUM(G43:G46)</f>
        <v>1053</v>
      </c>
      <c r="H41" s="212">
        <f t="shared" si="9"/>
        <v>0</v>
      </c>
      <c r="I41" s="210">
        <f t="shared" si="9"/>
        <v>1053</v>
      </c>
      <c r="J41" s="270">
        <f t="shared" si="9"/>
        <v>0</v>
      </c>
      <c r="K41" s="131">
        <f t="shared" si="9"/>
        <v>0</v>
      </c>
      <c r="L41" s="131">
        <f t="shared" si="9"/>
        <v>1053</v>
      </c>
      <c r="M41" s="131">
        <f t="shared" si="9"/>
        <v>0</v>
      </c>
      <c r="N41" s="131">
        <f t="shared" si="9"/>
        <v>0</v>
      </c>
      <c r="O41" s="131">
        <f t="shared" si="9"/>
        <v>1053</v>
      </c>
      <c r="P41" s="198">
        <f t="shared" si="9"/>
        <v>0</v>
      </c>
      <c r="Q41" s="131">
        <f t="shared" si="9"/>
        <v>1053</v>
      </c>
    </row>
    <row r="42" spans="1:17" ht="11.25" customHeight="1">
      <c r="A42" s="42" t="s">
        <v>23</v>
      </c>
      <c r="B42" s="101"/>
      <c r="C42" s="128"/>
      <c r="D42" s="126"/>
      <c r="E42" s="126"/>
      <c r="F42" s="246"/>
      <c r="G42" s="207"/>
      <c r="H42" s="209"/>
      <c r="I42" s="208"/>
      <c r="J42" s="267"/>
      <c r="K42" s="7"/>
      <c r="L42" s="31"/>
      <c r="M42" s="30"/>
      <c r="N42" s="7"/>
      <c r="O42" s="31"/>
      <c r="P42" s="195"/>
      <c r="Q42" s="91"/>
    </row>
    <row r="43" spans="1:17" ht="12.75">
      <c r="A43" s="43" t="s">
        <v>35</v>
      </c>
      <c r="B43" s="102"/>
      <c r="C43" s="128"/>
      <c r="D43" s="126"/>
      <c r="E43" s="126"/>
      <c r="F43" s="246">
        <f>C43+D43+E43</f>
        <v>0</v>
      </c>
      <c r="G43" s="207">
        <v>1053</v>
      </c>
      <c r="H43" s="209"/>
      <c r="I43" s="208">
        <f>F43+G43+H43</f>
        <v>1053</v>
      </c>
      <c r="J43" s="267"/>
      <c r="K43" s="7"/>
      <c r="L43" s="31">
        <f>I43+J43+K43</f>
        <v>1053</v>
      </c>
      <c r="M43" s="30"/>
      <c r="N43" s="7"/>
      <c r="O43" s="31">
        <f>L43+M43+N43</f>
        <v>1053</v>
      </c>
      <c r="P43" s="195"/>
      <c r="Q43" s="91">
        <f t="shared" si="0"/>
        <v>1053</v>
      </c>
    </row>
    <row r="44" spans="1:17" ht="12.75" hidden="1">
      <c r="A44" s="44" t="s">
        <v>210</v>
      </c>
      <c r="B44" s="103"/>
      <c r="C44" s="128"/>
      <c r="D44" s="126"/>
      <c r="E44" s="126"/>
      <c r="F44" s="246">
        <f>C44+D44+E44</f>
        <v>0</v>
      </c>
      <c r="G44" s="207"/>
      <c r="H44" s="209"/>
      <c r="I44" s="208">
        <f>F44+G44+H44</f>
        <v>0</v>
      </c>
      <c r="J44" s="271"/>
      <c r="K44" s="7"/>
      <c r="L44" s="31">
        <f>I44+J44+K44</f>
        <v>0</v>
      </c>
      <c r="M44" s="39"/>
      <c r="N44" s="7"/>
      <c r="O44" s="31">
        <f>L44+M44+N44</f>
        <v>0</v>
      </c>
      <c r="P44" s="195"/>
      <c r="Q44" s="91">
        <f t="shared" si="0"/>
        <v>0</v>
      </c>
    </row>
    <row r="45" spans="1:17" ht="12.75" hidden="1">
      <c r="A45" s="44" t="s">
        <v>211</v>
      </c>
      <c r="B45" s="103"/>
      <c r="C45" s="128"/>
      <c r="D45" s="126"/>
      <c r="E45" s="126"/>
      <c r="F45" s="246">
        <f>C45+D45+E45</f>
        <v>0</v>
      </c>
      <c r="G45" s="207"/>
      <c r="H45" s="209"/>
      <c r="I45" s="208">
        <f>F45+G45+H45</f>
        <v>0</v>
      </c>
      <c r="J45" s="271"/>
      <c r="K45" s="7"/>
      <c r="L45" s="31">
        <f>I45+J45+K45</f>
        <v>0</v>
      </c>
      <c r="M45" s="39"/>
      <c r="N45" s="7"/>
      <c r="O45" s="31">
        <f>L45+M45+N45</f>
        <v>0</v>
      </c>
      <c r="P45" s="195"/>
      <c r="Q45" s="91">
        <f t="shared" si="0"/>
        <v>0</v>
      </c>
    </row>
    <row r="46" spans="1:17" ht="12.75" hidden="1">
      <c r="A46" s="43" t="s">
        <v>36</v>
      </c>
      <c r="B46" s="102"/>
      <c r="C46" s="128"/>
      <c r="D46" s="126"/>
      <c r="E46" s="126"/>
      <c r="F46" s="246">
        <f>C46+D46+E46</f>
        <v>0</v>
      </c>
      <c r="G46" s="207"/>
      <c r="H46" s="209"/>
      <c r="I46" s="208">
        <f>F46+G46+H46</f>
        <v>0</v>
      </c>
      <c r="J46" s="267"/>
      <c r="K46" s="7"/>
      <c r="L46" s="31">
        <f>I46+J46+K46</f>
        <v>0</v>
      </c>
      <c r="M46" s="30"/>
      <c r="N46" s="7"/>
      <c r="O46" s="31">
        <f>L46+M46+N46</f>
        <v>0</v>
      </c>
      <c r="P46" s="195"/>
      <c r="Q46" s="91">
        <f t="shared" si="0"/>
        <v>0</v>
      </c>
    </row>
    <row r="47" spans="1:17" ht="12.75">
      <c r="A47" s="41" t="s">
        <v>37</v>
      </c>
      <c r="B47" s="100"/>
      <c r="C47" s="123">
        <f>SUM(C49:C68)</f>
        <v>72738</v>
      </c>
      <c r="D47" s="124">
        <f>SUM(D49:D68)</f>
        <v>4398622.68</v>
      </c>
      <c r="E47" s="124">
        <f>SUM(E49:E68)</f>
        <v>0</v>
      </c>
      <c r="F47" s="245">
        <f>SUM(F49:F68)</f>
        <v>4471360.68</v>
      </c>
      <c r="G47" s="204">
        <f aca="true" t="shared" si="10" ref="G47:Q47">SUM(G49:G68)</f>
        <v>480671.06</v>
      </c>
      <c r="H47" s="205">
        <f t="shared" si="10"/>
        <v>0</v>
      </c>
      <c r="I47" s="206">
        <f t="shared" si="10"/>
        <v>4952031.739999999</v>
      </c>
      <c r="J47" s="268">
        <f t="shared" si="10"/>
        <v>0</v>
      </c>
      <c r="K47" s="125">
        <f t="shared" si="10"/>
        <v>0</v>
      </c>
      <c r="L47" s="125">
        <f t="shared" si="10"/>
        <v>4951781.739999999</v>
      </c>
      <c r="M47" s="125">
        <f t="shared" si="10"/>
        <v>0</v>
      </c>
      <c r="N47" s="125">
        <f t="shared" si="10"/>
        <v>0</v>
      </c>
      <c r="O47" s="125">
        <f t="shared" si="10"/>
        <v>4951781.739999999</v>
      </c>
      <c r="P47" s="196">
        <f t="shared" si="10"/>
        <v>0</v>
      </c>
      <c r="Q47" s="125">
        <f t="shared" si="10"/>
        <v>4951781.739999999</v>
      </c>
    </row>
    <row r="48" spans="1:17" ht="10.5" customHeight="1">
      <c r="A48" s="46" t="s">
        <v>38</v>
      </c>
      <c r="B48" s="105"/>
      <c r="C48" s="128"/>
      <c r="D48" s="126"/>
      <c r="E48" s="126"/>
      <c r="F48" s="246"/>
      <c r="G48" s="207"/>
      <c r="H48" s="209"/>
      <c r="I48" s="208"/>
      <c r="J48" s="267"/>
      <c r="K48" s="7"/>
      <c r="L48" s="31"/>
      <c r="M48" s="30"/>
      <c r="N48" s="7"/>
      <c r="O48" s="31"/>
      <c r="P48" s="195"/>
      <c r="Q48" s="91"/>
    </row>
    <row r="49" spans="1:17" ht="12.75">
      <c r="A49" s="44" t="s">
        <v>39</v>
      </c>
      <c r="B49" s="103"/>
      <c r="C49" s="128">
        <v>72488</v>
      </c>
      <c r="D49" s="126"/>
      <c r="E49" s="126"/>
      <c r="F49" s="246">
        <f>C49+D49+E49</f>
        <v>72488</v>
      </c>
      <c r="G49" s="207"/>
      <c r="H49" s="209"/>
      <c r="I49" s="208">
        <f>F49+G49+H49</f>
        <v>72488</v>
      </c>
      <c r="J49" s="267"/>
      <c r="K49" s="7"/>
      <c r="L49" s="31">
        <f>I49+J49+K49</f>
        <v>72488</v>
      </c>
      <c r="M49" s="30"/>
      <c r="N49" s="7"/>
      <c r="O49" s="31">
        <f>L49+M49+N49</f>
        <v>72488</v>
      </c>
      <c r="P49" s="195"/>
      <c r="Q49" s="91">
        <f t="shared" si="0"/>
        <v>72488</v>
      </c>
    </row>
    <row r="50" spans="1:17" ht="12.75">
      <c r="A50" s="44" t="s">
        <v>40</v>
      </c>
      <c r="B50" s="103"/>
      <c r="C50" s="128"/>
      <c r="D50" s="126">
        <f>21.57</f>
        <v>21.57</v>
      </c>
      <c r="E50" s="126"/>
      <c r="F50" s="246">
        <f aca="true" t="shared" si="11" ref="F50:F68">C50+D50+E50</f>
        <v>21.57</v>
      </c>
      <c r="G50" s="128">
        <f>15+142.17+163.79+100+94.02</f>
        <v>514.98</v>
      </c>
      <c r="H50" s="209"/>
      <c r="I50" s="208">
        <f aca="true" t="shared" si="12" ref="I50:I68">F50+G50+H50</f>
        <v>536.5500000000001</v>
      </c>
      <c r="J50" s="267"/>
      <c r="K50" s="7"/>
      <c r="L50" s="31">
        <f aca="true" t="shared" si="13" ref="L50:L68">I50+J50+K50</f>
        <v>536.5500000000001</v>
      </c>
      <c r="M50" s="30"/>
      <c r="N50" s="7"/>
      <c r="O50" s="31">
        <f aca="true" t="shared" si="14" ref="O50:O68">L50+M50+N50</f>
        <v>536.5500000000001</v>
      </c>
      <c r="P50" s="195"/>
      <c r="Q50" s="91">
        <f t="shared" si="0"/>
        <v>536.5500000000001</v>
      </c>
    </row>
    <row r="51" spans="1:17" ht="12.75">
      <c r="A51" s="44" t="s">
        <v>41</v>
      </c>
      <c r="B51" s="103"/>
      <c r="C51" s="128"/>
      <c r="D51" s="126">
        <f>1373+150+47490+770.09+952.82+434.52+5743.51+9017.38+190.2+4323211+135.8+20.7</f>
        <v>4389489.02</v>
      </c>
      <c r="E51" s="126"/>
      <c r="F51" s="246">
        <f t="shared" si="11"/>
        <v>4389489.02</v>
      </c>
      <c r="G51" s="128">
        <f>386.84+1172.43+2451.69+3956.06+5316.37+12155.86+114.83+2298.02+47220+650+716.26+40.84+13685+74.74+392+130</f>
        <v>90760.94</v>
      </c>
      <c r="H51" s="209"/>
      <c r="I51" s="208">
        <f t="shared" si="12"/>
        <v>4480249.96</v>
      </c>
      <c r="J51" s="267"/>
      <c r="K51" s="7"/>
      <c r="L51" s="31">
        <f t="shared" si="13"/>
        <v>4480249.96</v>
      </c>
      <c r="M51" s="30"/>
      <c r="N51" s="7"/>
      <c r="O51" s="31">
        <f t="shared" si="14"/>
        <v>4480249.96</v>
      </c>
      <c r="P51" s="195"/>
      <c r="Q51" s="91">
        <f t="shared" si="0"/>
        <v>4480249.96</v>
      </c>
    </row>
    <row r="52" spans="1:17" ht="12.75">
      <c r="A52" s="44" t="s">
        <v>42</v>
      </c>
      <c r="B52" s="103"/>
      <c r="C52" s="128"/>
      <c r="D52" s="126">
        <f>2500+539.28+3357.89+657.56+656.71+900.65</f>
        <v>8612.09</v>
      </c>
      <c r="E52" s="126"/>
      <c r="F52" s="246">
        <f t="shared" si="11"/>
        <v>8612.09</v>
      </c>
      <c r="G52" s="128">
        <f>33000+7350+3961.18+11253.56+1222.59+280.11+303.25+785.48+2500+1270</f>
        <v>61926.17</v>
      </c>
      <c r="H52" s="209"/>
      <c r="I52" s="208">
        <f t="shared" si="12"/>
        <v>70538.26</v>
      </c>
      <c r="J52" s="267"/>
      <c r="K52" s="7"/>
      <c r="L52" s="31">
        <f t="shared" si="13"/>
        <v>70538.26</v>
      </c>
      <c r="M52" s="30"/>
      <c r="N52" s="7"/>
      <c r="O52" s="31">
        <f t="shared" si="14"/>
        <v>70538.26</v>
      </c>
      <c r="P52" s="195"/>
      <c r="Q52" s="91">
        <f t="shared" si="0"/>
        <v>70538.26</v>
      </c>
    </row>
    <row r="53" spans="1:17" ht="12.75">
      <c r="A53" s="44" t="s">
        <v>43</v>
      </c>
      <c r="B53" s="103"/>
      <c r="C53" s="128"/>
      <c r="D53" s="126"/>
      <c r="E53" s="126"/>
      <c r="F53" s="246">
        <f t="shared" si="11"/>
        <v>0</v>
      </c>
      <c r="G53" s="207">
        <f>9.35+432.65</f>
        <v>442</v>
      </c>
      <c r="H53" s="209"/>
      <c r="I53" s="208">
        <f t="shared" si="12"/>
        <v>442</v>
      </c>
      <c r="J53" s="267"/>
      <c r="K53" s="7"/>
      <c r="L53" s="31">
        <f t="shared" si="13"/>
        <v>442</v>
      </c>
      <c r="M53" s="30"/>
      <c r="N53" s="7"/>
      <c r="O53" s="31">
        <f t="shared" si="14"/>
        <v>442</v>
      </c>
      <c r="P53" s="195"/>
      <c r="Q53" s="91">
        <f t="shared" si="0"/>
        <v>442</v>
      </c>
    </row>
    <row r="54" spans="1:17" ht="12.75">
      <c r="A54" s="44" t="s">
        <v>44</v>
      </c>
      <c r="B54" s="103"/>
      <c r="C54" s="128"/>
      <c r="D54" s="126"/>
      <c r="E54" s="126"/>
      <c r="F54" s="246">
        <f t="shared" si="11"/>
        <v>0</v>
      </c>
      <c r="G54" s="128">
        <f>92+64+277+32+100+280</f>
        <v>845</v>
      </c>
      <c r="H54" s="209"/>
      <c r="I54" s="208">
        <f t="shared" si="12"/>
        <v>845</v>
      </c>
      <c r="J54" s="267"/>
      <c r="K54" s="7"/>
      <c r="L54" s="31">
        <f t="shared" si="13"/>
        <v>845</v>
      </c>
      <c r="M54" s="30"/>
      <c r="N54" s="7"/>
      <c r="O54" s="31">
        <f t="shared" si="14"/>
        <v>845</v>
      </c>
      <c r="P54" s="195"/>
      <c r="Q54" s="91">
        <f t="shared" si="0"/>
        <v>845</v>
      </c>
    </row>
    <row r="55" spans="1:17" ht="12.75" hidden="1">
      <c r="A55" s="44" t="s">
        <v>45</v>
      </c>
      <c r="B55" s="103"/>
      <c r="C55" s="128"/>
      <c r="D55" s="126"/>
      <c r="E55" s="126"/>
      <c r="F55" s="246">
        <f t="shared" si="11"/>
        <v>0</v>
      </c>
      <c r="G55" s="207"/>
      <c r="H55" s="209"/>
      <c r="I55" s="208">
        <f t="shared" si="12"/>
        <v>0</v>
      </c>
      <c r="J55" s="267"/>
      <c r="K55" s="7"/>
      <c r="L55" s="31">
        <f t="shared" si="13"/>
        <v>0</v>
      </c>
      <c r="M55" s="30"/>
      <c r="N55" s="7"/>
      <c r="O55" s="31">
        <f t="shared" si="14"/>
        <v>0</v>
      </c>
      <c r="P55" s="195"/>
      <c r="Q55" s="91">
        <f t="shared" si="0"/>
        <v>0</v>
      </c>
    </row>
    <row r="56" spans="1:17" ht="12.75">
      <c r="A56" s="44" t="s">
        <v>46</v>
      </c>
      <c r="B56" s="103"/>
      <c r="C56" s="128"/>
      <c r="D56" s="126"/>
      <c r="E56" s="126"/>
      <c r="F56" s="246">
        <f t="shared" si="11"/>
        <v>0</v>
      </c>
      <c r="G56" s="207">
        <f>5477+188.85+490+280</f>
        <v>6435.85</v>
      </c>
      <c r="H56" s="209"/>
      <c r="I56" s="208">
        <f t="shared" si="12"/>
        <v>6435.85</v>
      </c>
      <c r="J56" s="267"/>
      <c r="K56" s="7"/>
      <c r="L56" s="31">
        <f t="shared" si="13"/>
        <v>6435.85</v>
      </c>
      <c r="M56" s="30"/>
      <c r="N56" s="7"/>
      <c r="O56" s="31">
        <f t="shared" si="14"/>
        <v>6435.85</v>
      </c>
      <c r="P56" s="195"/>
      <c r="Q56" s="91">
        <f t="shared" si="0"/>
        <v>6435.85</v>
      </c>
    </row>
    <row r="57" spans="1:17" ht="12.75">
      <c r="A57" s="44" t="s">
        <v>183</v>
      </c>
      <c r="B57" s="103"/>
      <c r="C57" s="128"/>
      <c r="D57" s="126"/>
      <c r="E57" s="126"/>
      <c r="F57" s="246">
        <f t="shared" si="11"/>
        <v>0</v>
      </c>
      <c r="G57" s="207">
        <v>262962.71</v>
      </c>
      <c r="H57" s="209"/>
      <c r="I57" s="208">
        <f t="shared" si="12"/>
        <v>262962.71</v>
      </c>
      <c r="J57" s="267"/>
      <c r="K57" s="7"/>
      <c r="L57" s="31">
        <f t="shared" si="13"/>
        <v>262962.71</v>
      </c>
      <c r="M57" s="30"/>
      <c r="N57" s="7"/>
      <c r="O57" s="31">
        <f t="shared" si="14"/>
        <v>262962.71</v>
      </c>
      <c r="P57" s="195"/>
      <c r="Q57" s="91">
        <f t="shared" si="0"/>
        <v>262962.71</v>
      </c>
    </row>
    <row r="58" spans="1:17" ht="12.75" hidden="1">
      <c r="A58" s="44" t="s">
        <v>216</v>
      </c>
      <c r="B58" s="103"/>
      <c r="C58" s="128"/>
      <c r="D58" s="126"/>
      <c r="E58" s="126"/>
      <c r="F58" s="246">
        <f t="shared" si="11"/>
        <v>0</v>
      </c>
      <c r="G58" s="207"/>
      <c r="H58" s="209"/>
      <c r="I58" s="208">
        <f t="shared" si="12"/>
        <v>0</v>
      </c>
      <c r="J58" s="267"/>
      <c r="K58" s="7"/>
      <c r="L58" s="31">
        <f t="shared" si="13"/>
        <v>0</v>
      </c>
      <c r="M58" s="30"/>
      <c r="N58" s="7"/>
      <c r="O58" s="31">
        <f t="shared" si="14"/>
        <v>0</v>
      </c>
      <c r="P58" s="195"/>
      <c r="Q58" s="91">
        <f t="shared" si="0"/>
        <v>0</v>
      </c>
    </row>
    <row r="59" spans="1:17" ht="12.75">
      <c r="A59" s="44" t="s">
        <v>356</v>
      </c>
      <c r="B59" s="103"/>
      <c r="C59" s="128"/>
      <c r="D59" s="126"/>
      <c r="E59" s="126"/>
      <c r="F59" s="246">
        <f t="shared" si="11"/>
        <v>0</v>
      </c>
      <c r="G59" s="207">
        <v>250</v>
      </c>
      <c r="H59" s="209"/>
      <c r="I59" s="208">
        <f t="shared" si="12"/>
        <v>250</v>
      </c>
      <c r="J59" s="267"/>
      <c r="K59" s="7"/>
      <c r="L59" s="31"/>
      <c r="M59" s="30"/>
      <c r="N59" s="7"/>
      <c r="O59" s="31"/>
      <c r="P59" s="195"/>
      <c r="Q59" s="91"/>
    </row>
    <row r="60" spans="1:17" ht="12.75">
      <c r="A60" s="44" t="s">
        <v>47</v>
      </c>
      <c r="B60" s="103"/>
      <c r="C60" s="128"/>
      <c r="D60" s="126"/>
      <c r="E60" s="126"/>
      <c r="F60" s="246">
        <f t="shared" si="11"/>
        <v>0</v>
      </c>
      <c r="G60" s="207">
        <f>158.05</f>
        <v>158.05</v>
      </c>
      <c r="H60" s="209"/>
      <c r="I60" s="208">
        <f t="shared" si="12"/>
        <v>158.05</v>
      </c>
      <c r="J60" s="267"/>
      <c r="K60" s="7"/>
      <c r="L60" s="31">
        <f t="shared" si="13"/>
        <v>158.05</v>
      </c>
      <c r="M60" s="30"/>
      <c r="N60" s="7"/>
      <c r="O60" s="31">
        <f t="shared" si="14"/>
        <v>158.05</v>
      </c>
      <c r="P60" s="195"/>
      <c r="Q60" s="91">
        <f t="shared" si="0"/>
        <v>158.05</v>
      </c>
    </row>
    <row r="61" spans="1:17" ht="12.75">
      <c r="A61" s="44" t="s">
        <v>48</v>
      </c>
      <c r="B61" s="103"/>
      <c r="C61" s="128"/>
      <c r="D61" s="126"/>
      <c r="E61" s="126"/>
      <c r="F61" s="246">
        <f t="shared" si="11"/>
        <v>0</v>
      </c>
      <c r="G61" s="128">
        <v>61</v>
      </c>
      <c r="H61" s="209"/>
      <c r="I61" s="208">
        <f t="shared" si="12"/>
        <v>61</v>
      </c>
      <c r="J61" s="271"/>
      <c r="K61" s="7"/>
      <c r="L61" s="31">
        <f t="shared" si="13"/>
        <v>61</v>
      </c>
      <c r="M61" s="30"/>
      <c r="N61" s="7"/>
      <c r="O61" s="31">
        <f t="shared" si="14"/>
        <v>61</v>
      </c>
      <c r="P61" s="195"/>
      <c r="Q61" s="91">
        <f t="shared" si="0"/>
        <v>61</v>
      </c>
    </row>
    <row r="62" spans="1:17" ht="12.75" hidden="1">
      <c r="A62" s="44" t="s">
        <v>217</v>
      </c>
      <c r="B62" s="103"/>
      <c r="C62" s="128"/>
      <c r="D62" s="126"/>
      <c r="E62" s="126"/>
      <c r="F62" s="246">
        <f t="shared" si="11"/>
        <v>0</v>
      </c>
      <c r="G62" s="207"/>
      <c r="H62" s="209"/>
      <c r="I62" s="208">
        <f t="shared" si="12"/>
        <v>0</v>
      </c>
      <c r="J62" s="271"/>
      <c r="K62" s="7"/>
      <c r="L62" s="31">
        <f t="shared" si="13"/>
        <v>0</v>
      </c>
      <c r="M62" s="30"/>
      <c r="N62" s="7"/>
      <c r="O62" s="31">
        <f t="shared" si="14"/>
        <v>0</v>
      </c>
      <c r="P62" s="195"/>
      <c r="Q62" s="91">
        <f t="shared" si="0"/>
        <v>0</v>
      </c>
    </row>
    <row r="63" spans="1:17" ht="12.75" hidden="1">
      <c r="A63" s="44" t="s">
        <v>49</v>
      </c>
      <c r="B63" s="103"/>
      <c r="C63" s="128"/>
      <c r="D63" s="126"/>
      <c r="E63" s="126"/>
      <c r="F63" s="246">
        <f t="shared" si="11"/>
        <v>0</v>
      </c>
      <c r="G63" s="207"/>
      <c r="H63" s="209"/>
      <c r="I63" s="208">
        <f t="shared" si="12"/>
        <v>0</v>
      </c>
      <c r="J63" s="267"/>
      <c r="K63" s="7"/>
      <c r="L63" s="31">
        <f t="shared" si="13"/>
        <v>0</v>
      </c>
      <c r="M63" s="30"/>
      <c r="N63" s="7"/>
      <c r="O63" s="31">
        <f t="shared" si="14"/>
        <v>0</v>
      </c>
      <c r="P63" s="195"/>
      <c r="Q63" s="91">
        <f t="shared" si="0"/>
        <v>0</v>
      </c>
    </row>
    <row r="64" spans="1:17" ht="12.75">
      <c r="A64" s="44" t="s">
        <v>60</v>
      </c>
      <c r="B64" s="103"/>
      <c r="C64" s="128"/>
      <c r="D64" s="126"/>
      <c r="E64" s="126"/>
      <c r="F64" s="246">
        <f t="shared" si="11"/>
        <v>0</v>
      </c>
      <c r="G64" s="128">
        <f>1862.38+80.92+77.61+62.34+73.01+118.19+1650.41</f>
        <v>3924.8600000000006</v>
      </c>
      <c r="H64" s="209"/>
      <c r="I64" s="208">
        <f t="shared" si="12"/>
        <v>3924.8600000000006</v>
      </c>
      <c r="J64" s="267"/>
      <c r="K64" s="7"/>
      <c r="L64" s="31">
        <f t="shared" si="13"/>
        <v>3924.8600000000006</v>
      </c>
      <c r="M64" s="30"/>
      <c r="N64" s="7"/>
      <c r="O64" s="31">
        <f t="shared" si="14"/>
        <v>3924.8600000000006</v>
      </c>
      <c r="P64" s="195"/>
      <c r="Q64" s="91">
        <f t="shared" si="0"/>
        <v>3924.8600000000006</v>
      </c>
    </row>
    <row r="65" spans="1:17" ht="12.75">
      <c r="A65" s="44" t="s">
        <v>50</v>
      </c>
      <c r="B65" s="103"/>
      <c r="C65" s="128"/>
      <c r="D65" s="126"/>
      <c r="E65" s="126"/>
      <c r="F65" s="246">
        <f t="shared" si="11"/>
        <v>0</v>
      </c>
      <c r="G65" s="128">
        <f>42265+7297</f>
        <v>49562</v>
      </c>
      <c r="H65" s="209"/>
      <c r="I65" s="208">
        <f t="shared" si="12"/>
        <v>49562</v>
      </c>
      <c r="J65" s="267"/>
      <c r="K65" s="7"/>
      <c r="L65" s="31">
        <f t="shared" si="13"/>
        <v>49562</v>
      </c>
      <c r="M65" s="30"/>
      <c r="N65" s="7"/>
      <c r="O65" s="31">
        <f t="shared" si="14"/>
        <v>49562</v>
      </c>
      <c r="P65" s="195"/>
      <c r="Q65" s="91">
        <f t="shared" si="0"/>
        <v>49562</v>
      </c>
    </row>
    <row r="66" spans="1:17" ht="12.75">
      <c r="A66" s="44" t="s">
        <v>51</v>
      </c>
      <c r="B66" s="103"/>
      <c r="C66" s="128"/>
      <c r="D66" s="126"/>
      <c r="E66" s="126"/>
      <c r="F66" s="246">
        <f t="shared" si="11"/>
        <v>0</v>
      </c>
      <c r="G66" s="128">
        <v>451.5</v>
      </c>
      <c r="H66" s="209"/>
      <c r="I66" s="208">
        <f t="shared" si="12"/>
        <v>451.5</v>
      </c>
      <c r="J66" s="267"/>
      <c r="K66" s="7"/>
      <c r="L66" s="31">
        <f t="shared" si="13"/>
        <v>451.5</v>
      </c>
      <c r="M66" s="30"/>
      <c r="N66" s="7"/>
      <c r="O66" s="31">
        <f t="shared" si="14"/>
        <v>451.5</v>
      </c>
      <c r="P66" s="195"/>
      <c r="Q66" s="91">
        <f t="shared" si="0"/>
        <v>451.5</v>
      </c>
    </row>
    <row r="67" spans="1:17" ht="12.75">
      <c r="A67" s="44" t="s">
        <v>52</v>
      </c>
      <c r="B67" s="103"/>
      <c r="C67" s="128">
        <v>250</v>
      </c>
      <c r="D67" s="126"/>
      <c r="E67" s="126"/>
      <c r="F67" s="246">
        <f t="shared" si="11"/>
        <v>250</v>
      </c>
      <c r="G67" s="207">
        <v>2376</v>
      </c>
      <c r="H67" s="209"/>
      <c r="I67" s="208">
        <f t="shared" si="12"/>
        <v>2626</v>
      </c>
      <c r="J67" s="267"/>
      <c r="K67" s="7"/>
      <c r="L67" s="31">
        <f t="shared" si="13"/>
        <v>2626</v>
      </c>
      <c r="M67" s="30"/>
      <c r="N67" s="7"/>
      <c r="O67" s="31">
        <f t="shared" si="14"/>
        <v>2626</v>
      </c>
      <c r="P67" s="195"/>
      <c r="Q67" s="91">
        <f t="shared" si="0"/>
        <v>2626</v>
      </c>
    </row>
    <row r="68" spans="1:17" ht="12.75">
      <c r="A68" s="44" t="s">
        <v>229</v>
      </c>
      <c r="B68" s="103"/>
      <c r="C68" s="128"/>
      <c r="D68" s="126">
        <v>500</v>
      </c>
      <c r="E68" s="126"/>
      <c r="F68" s="246">
        <f t="shared" si="11"/>
        <v>500</v>
      </c>
      <c r="G68" s="207"/>
      <c r="H68" s="209"/>
      <c r="I68" s="208">
        <f t="shared" si="12"/>
        <v>500</v>
      </c>
      <c r="J68" s="267"/>
      <c r="K68" s="7"/>
      <c r="L68" s="31">
        <f t="shared" si="13"/>
        <v>500</v>
      </c>
      <c r="M68" s="30"/>
      <c r="N68" s="7"/>
      <c r="O68" s="31">
        <f t="shared" si="14"/>
        <v>500</v>
      </c>
      <c r="P68" s="195"/>
      <c r="Q68" s="91">
        <f t="shared" si="0"/>
        <v>500</v>
      </c>
    </row>
    <row r="69" spans="1:17" ht="12.75" hidden="1">
      <c r="A69" s="45" t="s">
        <v>53</v>
      </c>
      <c r="B69" s="104"/>
      <c r="C69" s="129">
        <f>SUM(C71:C73)</f>
        <v>0</v>
      </c>
      <c r="D69" s="130">
        <f>SUM(D71:D73)</f>
        <v>0</v>
      </c>
      <c r="E69" s="130"/>
      <c r="F69" s="247">
        <f>SUM(F71:F73)</f>
        <v>0</v>
      </c>
      <c r="G69" s="211">
        <f aca="true" t="shared" si="15" ref="G69:Q69">SUM(G71:G73)</f>
        <v>0</v>
      </c>
      <c r="H69" s="212">
        <f t="shared" si="15"/>
        <v>0</v>
      </c>
      <c r="I69" s="210">
        <f t="shared" si="15"/>
        <v>0</v>
      </c>
      <c r="J69" s="270">
        <f t="shared" si="15"/>
        <v>0</v>
      </c>
      <c r="K69" s="131">
        <f t="shared" si="15"/>
        <v>0</v>
      </c>
      <c r="L69" s="131">
        <f t="shared" si="15"/>
        <v>0</v>
      </c>
      <c r="M69" s="131">
        <f t="shared" si="15"/>
        <v>0</v>
      </c>
      <c r="N69" s="131">
        <f t="shared" si="15"/>
        <v>0</v>
      </c>
      <c r="O69" s="131">
        <f t="shared" si="15"/>
        <v>0</v>
      </c>
      <c r="P69" s="198">
        <f t="shared" si="15"/>
        <v>0</v>
      </c>
      <c r="Q69" s="131">
        <f t="shared" si="15"/>
        <v>0</v>
      </c>
    </row>
    <row r="70" spans="1:17" ht="12.75" hidden="1">
      <c r="A70" s="42" t="s">
        <v>38</v>
      </c>
      <c r="B70" s="101"/>
      <c r="C70" s="128"/>
      <c r="D70" s="126"/>
      <c r="E70" s="126"/>
      <c r="F70" s="246"/>
      <c r="G70" s="207"/>
      <c r="H70" s="209"/>
      <c r="I70" s="208"/>
      <c r="J70" s="267"/>
      <c r="K70" s="7"/>
      <c r="L70" s="31"/>
      <c r="M70" s="30"/>
      <c r="N70" s="7"/>
      <c r="O70" s="31">
        <f>L70+M70+N70</f>
        <v>0</v>
      </c>
      <c r="P70" s="195"/>
      <c r="Q70" s="91"/>
    </row>
    <row r="71" spans="1:17" ht="12.75" hidden="1">
      <c r="A71" s="44" t="s">
        <v>54</v>
      </c>
      <c r="B71" s="103"/>
      <c r="C71" s="128"/>
      <c r="D71" s="126"/>
      <c r="E71" s="126"/>
      <c r="F71" s="246">
        <f>C71+D71+E71</f>
        <v>0</v>
      </c>
      <c r="G71" s="207"/>
      <c r="H71" s="209"/>
      <c r="I71" s="208">
        <f>F71+G71+H71</f>
        <v>0</v>
      </c>
      <c r="J71" s="267"/>
      <c r="K71" s="7"/>
      <c r="L71" s="31">
        <f>I71+J71+K71</f>
        <v>0</v>
      </c>
      <c r="M71" s="30"/>
      <c r="N71" s="7"/>
      <c r="O71" s="31">
        <f>L71+M71+N71</f>
        <v>0</v>
      </c>
      <c r="P71" s="195"/>
      <c r="Q71" s="91">
        <f t="shared" si="0"/>
        <v>0</v>
      </c>
    </row>
    <row r="72" spans="1:17" ht="12.75" hidden="1">
      <c r="A72" s="44" t="s">
        <v>55</v>
      </c>
      <c r="B72" s="103"/>
      <c r="C72" s="128"/>
      <c r="D72" s="126"/>
      <c r="E72" s="126"/>
      <c r="F72" s="246">
        <f>C72+D72+E72</f>
        <v>0</v>
      </c>
      <c r="G72" s="207"/>
      <c r="H72" s="209"/>
      <c r="I72" s="208">
        <f>F72+G72+H72</f>
        <v>0</v>
      </c>
      <c r="J72" s="267"/>
      <c r="K72" s="7"/>
      <c r="L72" s="31">
        <f>I72+J72+K72</f>
        <v>0</v>
      </c>
      <c r="M72" s="30"/>
      <c r="N72" s="7"/>
      <c r="O72" s="31">
        <f>L72+M72+N72</f>
        <v>0</v>
      </c>
      <c r="P72" s="195"/>
      <c r="Q72" s="91">
        <f t="shared" si="0"/>
        <v>0</v>
      </c>
    </row>
    <row r="73" spans="1:17" ht="12.75" hidden="1">
      <c r="A73" s="44" t="s">
        <v>56</v>
      </c>
      <c r="B73" s="103"/>
      <c r="C73" s="128"/>
      <c r="D73" s="126"/>
      <c r="E73" s="126"/>
      <c r="F73" s="246">
        <f>C73+D73+E73</f>
        <v>0</v>
      </c>
      <c r="G73" s="207"/>
      <c r="H73" s="209"/>
      <c r="I73" s="208">
        <f>F73+G73+H73</f>
        <v>0</v>
      </c>
      <c r="J73" s="267"/>
      <c r="K73" s="7"/>
      <c r="L73" s="31">
        <f>I73+J73+K73</f>
        <v>0</v>
      </c>
      <c r="M73" s="30"/>
      <c r="N73" s="7"/>
      <c r="O73" s="31">
        <f>L73+M73+N73</f>
        <v>0</v>
      </c>
      <c r="P73" s="195"/>
      <c r="Q73" s="91">
        <f t="shared" si="0"/>
        <v>0</v>
      </c>
    </row>
    <row r="74" spans="1:17" ht="12.75">
      <c r="A74" s="41" t="s">
        <v>57</v>
      </c>
      <c r="B74" s="100"/>
      <c r="C74" s="123">
        <f>SUM(C76:C87)</f>
        <v>0</v>
      </c>
      <c r="D74" s="124">
        <f>SUM(D76:D87)</f>
        <v>0</v>
      </c>
      <c r="E74" s="124"/>
      <c r="F74" s="245">
        <f>SUM(F76:F87)</f>
        <v>0</v>
      </c>
      <c r="G74" s="204">
        <f aca="true" t="shared" si="16" ref="G74:Q74">SUM(G76:G87)</f>
        <v>95875.33000000002</v>
      </c>
      <c r="H74" s="205">
        <f t="shared" si="16"/>
        <v>0</v>
      </c>
      <c r="I74" s="206">
        <f t="shared" si="16"/>
        <v>95875.33000000002</v>
      </c>
      <c r="J74" s="268">
        <f t="shared" si="16"/>
        <v>0</v>
      </c>
      <c r="K74" s="125">
        <f t="shared" si="16"/>
        <v>0</v>
      </c>
      <c r="L74" s="125">
        <f t="shared" si="16"/>
        <v>95875.33000000002</v>
      </c>
      <c r="M74" s="125">
        <f t="shared" si="16"/>
        <v>0</v>
      </c>
      <c r="N74" s="125">
        <f t="shared" si="16"/>
        <v>0</v>
      </c>
      <c r="O74" s="125">
        <f t="shared" si="16"/>
        <v>95875.33000000002</v>
      </c>
      <c r="P74" s="125">
        <f t="shared" si="16"/>
        <v>0</v>
      </c>
      <c r="Q74" s="125">
        <f t="shared" si="16"/>
        <v>95875.33000000002</v>
      </c>
    </row>
    <row r="75" spans="1:17" ht="12.75">
      <c r="A75" s="46" t="s">
        <v>38</v>
      </c>
      <c r="B75" s="105"/>
      <c r="C75" s="128"/>
      <c r="D75" s="126"/>
      <c r="E75" s="126"/>
      <c r="F75" s="246"/>
      <c r="G75" s="207"/>
      <c r="H75" s="209"/>
      <c r="I75" s="208"/>
      <c r="J75" s="267"/>
      <c r="K75" s="7"/>
      <c r="L75" s="31"/>
      <c r="M75" s="30"/>
      <c r="N75" s="7"/>
      <c r="O75" s="31"/>
      <c r="P75" s="195"/>
      <c r="Q75" s="91"/>
    </row>
    <row r="76" spans="1:17" ht="12.75">
      <c r="A76" s="44" t="s">
        <v>41</v>
      </c>
      <c r="B76" s="103"/>
      <c r="C76" s="128"/>
      <c r="D76" s="126"/>
      <c r="E76" s="126"/>
      <c r="F76" s="246">
        <f>C76+D76+E76</f>
        <v>0</v>
      </c>
      <c r="G76" s="128">
        <f>1072.94+7300</f>
        <v>8372.94</v>
      </c>
      <c r="H76" s="209"/>
      <c r="I76" s="208">
        <f>F76+G76+H76</f>
        <v>8372.94</v>
      </c>
      <c r="J76" s="267"/>
      <c r="K76" s="7"/>
      <c r="L76" s="31">
        <f>I76+J76+K76</f>
        <v>8372.94</v>
      </c>
      <c r="M76" s="30"/>
      <c r="N76" s="7"/>
      <c r="O76" s="31">
        <f>L76+M76+N76</f>
        <v>8372.94</v>
      </c>
      <c r="P76" s="195"/>
      <c r="Q76" s="91">
        <f t="shared" si="0"/>
        <v>8372.94</v>
      </c>
    </row>
    <row r="77" spans="1:17" ht="12.75" hidden="1">
      <c r="A77" s="48" t="s">
        <v>42</v>
      </c>
      <c r="B77" s="106"/>
      <c r="C77" s="128"/>
      <c r="D77" s="126"/>
      <c r="E77" s="126"/>
      <c r="F77" s="246">
        <f aca="true" t="shared" si="17" ref="F77:F87">C77+D77+E77</f>
        <v>0</v>
      </c>
      <c r="G77" s="207"/>
      <c r="H77" s="209"/>
      <c r="I77" s="208">
        <f aca="true" t="shared" si="18" ref="I77:I87">F77+G77+H77</f>
        <v>0</v>
      </c>
      <c r="J77" s="267"/>
      <c r="K77" s="7"/>
      <c r="L77" s="31">
        <f aca="true" t="shared" si="19" ref="L77:L87">I77+J77+K77</f>
        <v>0</v>
      </c>
      <c r="M77" s="30"/>
      <c r="N77" s="7"/>
      <c r="O77" s="31">
        <f aca="true" t="shared" si="20" ref="O77:O87">L77+M77+N77</f>
        <v>0</v>
      </c>
      <c r="P77" s="195"/>
      <c r="Q77" s="91">
        <f t="shared" si="0"/>
        <v>0</v>
      </c>
    </row>
    <row r="78" spans="1:17" ht="12.75" hidden="1">
      <c r="A78" s="48" t="s">
        <v>40</v>
      </c>
      <c r="B78" s="106"/>
      <c r="C78" s="128"/>
      <c r="D78" s="126"/>
      <c r="E78" s="126"/>
      <c r="F78" s="246">
        <f t="shared" si="17"/>
        <v>0</v>
      </c>
      <c r="G78" s="207"/>
      <c r="H78" s="209"/>
      <c r="I78" s="208">
        <f t="shared" si="18"/>
        <v>0</v>
      </c>
      <c r="J78" s="267"/>
      <c r="K78" s="7"/>
      <c r="L78" s="31">
        <f t="shared" si="19"/>
        <v>0</v>
      </c>
      <c r="M78" s="30"/>
      <c r="N78" s="7"/>
      <c r="O78" s="31">
        <f t="shared" si="20"/>
        <v>0</v>
      </c>
      <c r="P78" s="195"/>
      <c r="Q78" s="91">
        <f t="shared" si="0"/>
        <v>0</v>
      </c>
    </row>
    <row r="79" spans="1:17" ht="12.75" hidden="1">
      <c r="A79" s="48" t="s">
        <v>58</v>
      </c>
      <c r="B79" s="106"/>
      <c r="C79" s="128"/>
      <c r="D79" s="126"/>
      <c r="E79" s="126"/>
      <c r="F79" s="246">
        <f t="shared" si="17"/>
        <v>0</v>
      </c>
      <c r="G79" s="207"/>
      <c r="H79" s="209"/>
      <c r="I79" s="208">
        <f t="shared" si="18"/>
        <v>0</v>
      </c>
      <c r="J79" s="267"/>
      <c r="K79" s="7"/>
      <c r="L79" s="31">
        <f t="shared" si="19"/>
        <v>0</v>
      </c>
      <c r="M79" s="30"/>
      <c r="N79" s="7"/>
      <c r="O79" s="31">
        <f t="shared" si="20"/>
        <v>0</v>
      </c>
      <c r="P79" s="195"/>
      <c r="Q79" s="91">
        <f t="shared" si="0"/>
        <v>0</v>
      </c>
    </row>
    <row r="80" spans="1:17" ht="12.75">
      <c r="A80" s="44" t="s">
        <v>43</v>
      </c>
      <c r="B80" s="103"/>
      <c r="C80" s="128"/>
      <c r="D80" s="126"/>
      <c r="E80" s="126"/>
      <c r="F80" s="246">
        <f t="shared" si="17"/>
        <v>0</v>
      </c>
      <c r="G80" s="207">
        <f>333.75</f>
        <v>333.75</v>
      </c>
      <c r="H80" s="209"/>
      <c r="I80" s="208">
        <f t="shared" si="18"/>
        <v>333.75</v>
      </c>
      <c r="J80" s="267"/>
      <c r="K80" s="7"/>
      <c r="L80" s="31">
        <f t="shared" si="19"/>
        <v>333.75</v>
      </c>
      <c r="M80" s="30"/>
      <c r="N80" s="7"/>
      <c r="O80" s="31">
        <f t="shared" si="20"/>
        <v>333.75</v>
      </c>
      <c r="P80" s="195"/>
      <c r="Q80" s="91">
        <f aca="true" t="shared" si="21" ref="Q80:Q145">O80+P80</f>
        <v>333.75</v>
      </c>
    </row>
    <row r="81" spans="1:17" ht="12.75" hidden="1">
      <c r="A81" s="44" t="s">
        <v>216</v>
      </c>
      <c r="B81" s="103"/>
      <c r="C81" s="128"/>
      <c r="D81" s="126"/>
      <c r="E81" s="126"/>
      <c r="F81" s="246">
        <f t="shared" si="17"/>
        <v>0</v>
      </c>
      <c r="G81" s="207"/>
      <c r="H81" s="209"/>
      <c r="I81" s="208">
        <f t="shared" si="18"/>
        <v>0</v>
      </c>
      <c r="J81" s="267"/>
      <c r="K81" s="7"/>
      <c r="L81" s="31">
        <f t="shared" si="19"/>
        <v>0</v>
      </c>
      <c r="M81" s="30"/>
      <c r="N81" s="7"/>
      <c r="O81" s="31">
        <f t="shared" si="20"/>
        <v>0</v>
      </c>
      <c r="P81" s="195"/>
      <c r="Q81" s="91">
        <f t="shared" si="21"/>
        <v>0</v>
      </c>
    </row>
    <row r="82" spans="1:17" ht="12.75" hidden="1">
      <c r="A82" s="44" t="s">
        <v>217</v>
      </c>
      <c r="B82" s="103"/>
      <c r="C82" s="128"/>
      <c r="D82" s="126"/>
      <c r="E82" s="126"/>
      <c r="F82" s="246">
        <f t="shared" si="17"/>
        <v>0</v>
      </c>
      <c r="G82" s="207"/>
      <c r="H82" s="209"/>
      <c r="I82" s="208">
        <f t="shared" si="18"/>
        <v>0</v>
      </c>
      <c r="J82" s="267"/>
      <c r="K82" s="7"/>
      <c r="L82" s="31">
        <f t="shared" si="19"/>
        <v>0</v>
      </c>
      <c r="M82" s="30"/>
      <c r="N82" s="7"/>
      <c r="O82" s="31">
        <f t="shared" si="20"/>
        <v>0</v>
      </c>
      <c r="P82" s="195"/>
      <c r="Q82" s="91">
        <f t="shared" si="21"/>
        <v>0</v>
      </c>
    </row>
    <row r="83" spans="1:17" ht="12.75" hidden="1">
      <c r="A83" s="44" t="s">
        <v>59</v>
      </c>
      <c r="B83" s="103"/>
      <c r="C83" s="128"/>
      <c r="D83" s="126"/>
      <c r="E83" s="126"/>
      <c r="F83" s="246">
        <f t="shared" si="17"/>
        <v>0</v>
      </c>
      <c r="G83" s="207"/>
      <c r="H83" s="209"/>
      <c r="I83" s="208">
        <f t="shared" si="18"/>
        <v>0</v>
      </c>
      <c r="J83" s="267"/>
      <c r="K83" s="7"/>
      <c r="L83" s="31">
        <f t="shared" si="19"/>
        <v>0</v>
      </c>
      <c r="M83" s="30"/>
      <c r="N83" s="7"/>
      <c r="O83" s="31">
        <f t="shared" si="20"/>
        <v>0</v>
      </c>
      <c r="P83" s="195"/>
      <c r="Q83" s="91">
        <f t="shared" si="21"/>
        <v>0</v>
      </c>
    </row>
    <row r="84" spans="1:17" ht="12.75">
      <c r="A84" s="44" t="s">
        <v>60</v>
      </c>
      <c r="B84" s="103"/>
      <c r="C84" s="128"/>
      <c r="D84" s="126"/>
      <c r="E84" s="126"/>
      <c r="F84" s="246">
        <f t="shared" si="17"/>
        <v>0</v>
      </c>
      <c r="G84" s="128">
        <f>929.33+16236.7+6084.52+41938.4+2883.74+1478.99+3186.46+14430.5</f>
        <v>87168.64000000001</v>
      </c>
      <c r="H84" s="209"/>
      <c r="I84" s="208">
        <f t="shared" si="18"/>
        <v>87168.64000000001</v>
      </c>
      <c r="J84" s="267"/>
      <c r="K84" s="7"/>
      <c r="L84" s="31">
        <f t="shared" si="19"/>
        <v>87168.64000000001</v>
      </c>
      <c r="M84" s="30"/>
      <c r="N84" s="7"/>
      <c r="O84" s="31">
        <f t="shared" si="20"/>
        <v>87168.64000000001</v>
      </c>
      <c r="P84" s="195"/>
      <c r="Q84" s="91">
        <f t="shared" si="21"/>
        <v>87168.64000000001</v>
      </c>
    </row>
    <row r="85" spans="1:17" ht="12.75" hidden="1">
      <c r="A85" s="44" t="s">
        <v>61</v>
      </c>
      <c r="B85" s="103"/>
      <c r="C85" s="128"/>
      <c r="D85" s="126"/>
      <c r="E85" s="126"/>
      <c r="F85" s="246">
        <f t="shared" si="17"/>
        <v>0</v>
      </c>
      <c r="G85" s="207"/>
      <c r="H85" s="209"/>
      <c r="I85" s="208">
        <f t="shared" si="18"/>
        <v>0</v>
      </c>
      <c r="J85" s="267"/>
      <c r="K85" s="7"/>
      <c r="L85" s="31">
        <f t="shared" si="19"/>
        <v>0</v>
      </c>
      <c r="M85" s="30"/>
      <c r="N85" s="7"/>
      <c r="O85" s="31">
        <f t="shared" si="20"/>
        <v>0</v>
      </c>
      <c r="P85" s="195"/>
      <c r="Q85" s="91">
        <f t="shared" si="21"/>
        <v>0</v>
      </c>
    </row>
    <row r="86" spans="1:17" ht="12.75" hidden="1">
      <c r="A86" s="44" t="s">
        <v>47</v>
      </c>
      <c r="B86" s="103"/>
      <c r="C86" s="128"/>
      <c r="D86" s="126"/>
      <c r="E86" s="126"/>
      <c r="F86" s="246">
        <f t="shared" si="17"/>
        <v>0</v>
      </c>
      <c r="G86" s="207"/>
      <c r="H86" s="209"/>
      <c r="I86" s="208">
        <f t="shared" si="18"/>
        <v>0</v>
      </c>
      <c r="J86" s="267"/>
      <c r="K86" s="7"/>
      <c r="L86" s="31">
        <f t="shared" si="19"/>
        <v>0</v>
      </c>
      <c r="M86" s="30"/>
      <c r="N86" s="7"/>
      <c r="O86" s="31">
        <f t="shared" si="20"/>
        <v>0</v>
      </c>
      <c r="P86" s="195"/>
      <c r="Q86" s="91">
        <f t="shared" si="21"/>
        <v>0</v>
      </c>
    </row>
    <row r="87" spans="1:17" ht="12.75" hidden="1">
      <c r="A87" s="44" t="s">
        <v>62</v>
      </c>
      <c r="B87" s="103"/>
      <c r="C87" s="128"/>
      <c r="D87" s="126"/>
      <c r="E87" s="126"/>
      <c r="F87" s="246">
        <f t="shared" si="17"/>
        <v>0</v>
      </c>
      <c r="G87" s="207"/>
      <c r="H87" s="209"/>
      <c r="I87" s="208">
        <f t="shared" si="18"/>
        <v>0</v>
      </c>
      <c r="J87" s="267"/>
      <c r="K87" s="7"/>
      <c r="L87" s="31">
        <f t="shared" si="19"/>
        <v>0</v>
      </c>
      <c r="M87" s="30"/>
      <c r="N87" s="7"/>
      <c r="O87" s="31">
        <f t="shared" si="20"/>
        <v>0</v>
      </c>
      <c r="P87" s="195"/>
      <c r="Q87" s="91">
        <f t="shared" si="21"/>
        <v>0</v>
      </c>
    </row>
    <row r="88" spans="1:17" ht="12.75" hidden="1">
      <c r="A88" s="45" t="s">
        <v>63</v>
      </c>
      <c r="B88" s="104"/>
      <c r="C88" s="129">
        <f>SUM(C90:C92)</f>
        <v>0</v>
      </c>
      <c r="D88" s="130"/>
      <c r="E88" s="130"/>
      <c r="F88" s="247">
        <f>SUM(F90:F92)</f>
        <v>0</v>
      </c>
      <c r="G88" s="211">
        <f aca="true" t="shared" si="22" ref="G88:Q88">SUM(G90:G92)</f>
        <v>0</v>
      </c>
      <c r="H88" s="212">
        <f t="shared" si="22"/>
        <v>0</v>
      </c>
      <c r="I88" s="210">
        <f t="shared" si="22"/>
        <v>0</v>
      </c>
      <c r="J88" s="270">
        <f t="shared" si="22"/>
        <v>0</v>
      </c>
      <c r="K88" s="131">
        <f t="shared" si="22"/>
        <v>0</v>
      </c>
      <c r="L88" s="131">
        <f t="shared" si="22"/>
        <v>0</v>
      </c>
      <c r="M88" s="131">
        <f t="shared" si="22"/>
        <v>0</v>
      </c>
      <c r="N88" s="131">
        <f t="shared" si="22"/>
        <v>0</v>
      </c>
      <c r="O88" s="131">
        <f t="shared" si="22"/>
        <v>0</v>
      </c>
      <c r="P88" s="198">
        <f t="shared" si="22"/>
        <v>0</v>
      </c>
      <c r="Q88" s="131">
        <f t="shared" si="22"/>
        <v>0</v>
      </c>
    </row>
    <row r="89" spans="1:17" ht="12.75" hidden="1">
      <c r="A89" s="42" t="s">
        <v>38</v>
      </c>
      <c r="B89" s="101"/>
      <c r="C89" s="128"/>
      <c r="D89" s="126"/>
      <c r="E89" s="126"/>
      <c r="F89" s="246"/>
      <c r="G89" s="207"/>
      <c r="H89" s="209"/>
      <c r="I89" s="208"/>
      <c r="J89" s="267"/>
      <c r="K89" s="7"/>
      <c r="L89" s="31"/>
      <c r="M89" s="30"/>
      <c r="N89" s="7"/>
      <c r="O89" s="31"/>
      <c r="P89" s="195"/>
      <c r="Q89" s="91"/>
    </row>
    <row r="90" spans="1:17" ht="12.75" hidden="1">
      <c r="A90" s="44" t="s">
        <v>64</v>
      </c>
      <c r="B90" s="103"/>
      <c r="C90" s="128"/>
      <c r="D90" s="126"/>
      <c r="E90" s="126"/>
      <c r="F90" s="246">
        <f>C90+D90+E90</f>
        <v>0</v>
      </c>
      <c r="G90" s="207"/>
      <c r="H90" s="209"/>
      <c r="I90" s="208">
        <f>F90+G90+H90</f>
        <v>0</v>
      </c>
      <c r="J90" s="267"/>
      <c r="K90" s="7"/>
      <c r="L90" s="31">
        <f>I90+J90+K90</f>
        <v>0</v>
      </c>
      <c r="M90" s="30"/>
      <c r="N90" s="7"/>
      <c r="O90" s="31">
        <f>L90+M90+N90</f>
        <v>0</v>
      </c>
      <c r="P90" s="195"/>
      <c r="Q90" s="91">
        <f t="shared" si="21"/>
        <v>0</v>
      </c>
    </row>
    <row r="91" spans="1:17" ht="12.75" hidden="1">
      <c r="A91" s="44" t="s">
        <v>35</v>
      </c>
      <c r="B91" s="103"/>
      <c r="C91" s="128"/>
      <c r="D91" s="126"/>
      <c r="E91" s="126"/>
      <c r="F91" s="246">
        <f>C91+D91+E91</f>
        <v>0</v>
      </c>
      <c r="G91" s="207"/>
      <c r="H91" s="209"/>
      <c r="I91" s="208">
        <f>F91+G91+H91</f>
        <v>0</v>
      </c>
      <c r="J91" s="267"/>
      <c r="K91" s="7"/>
      <c r="L91" s="31">
        <f>I91+J91+K91</f>
        <v>0</v>
      </c>
      <c r="M91" s="30"/>
      <c r="N91" s="7"/>
      <c r="O91" s="31">
        <f>L91+M91+N91</f>
        <v>0</v>
      </c>
      <c r="P91" s="195"/>
      <c r="Q91" s="91">
        <f t="shared" si="21"/>
        <v>0</v>
      </c>
    </row>
    <row r="92" spans="1:17" ht="12.75" hidden="1">
      <c r="A92" s="44" t="s">
        <v>55</v>
      </c>
      <c r="B92" s="103"/>
      <c r="C92" s="128"/>
      <c r="D92" s="126"/>
      <c r="E92" s="126"/>
      <c r="F92" s="246">
        <f>C92+D92+E92</f>
        <v>0</v>
      </c>
      <c r="G92" s="207"/>
      <c r="H92" s="209"/>
      <c r="I92" s="208">
        <f>F92+G92+H92</f>
        <v>0</v>
      </c>
      <c r="J92" s="267"/>
      <c r="K92" s="7"/>
      <c r="L92" s="31">
        <f>I92+J92+K92</f>
        <v>0</v>
      </c>
      <c r="M92" s="30"/>
      <c r="N92" s="7"/>
      <c r="O92" s="31">
        <f>L92+M92+N92</f>
        <v>0</v>
      </c>
      <c r="P92" s="195"/>
      <c r="Q92" s="91">
        <f t="shared" si="21"/>
        <v>0</v>
      </c>
    </row>
    <row r="93" spans="1:17" ht="12.75">
      <c r="A93" s="45" t="s">
        <v>65</v>
      </c>
      <c r="B93" s="104"/>
      <c r="C93" s="129"/>
      <c r="D93" s="130">
        <f>555.84+951.3</f>
        <v>1507.1399999999999</v>
      </c>
      <c r="E93" s="130"/>
      <c r="F93" s="247">
        <f>C93+D93+E93</f>
        <v>1507.1399999999999</v>
      </c>
      <c r="G93" s="211">
        <f>3359.33+63.32+5526.25</f>
        <v>8948.9</v>
      </c>
      <c r="H93" s="212"/>
      <c r="I93" s="210">
        <f>F93+G93+H93</f>
        <v>10456.039999999999</v>
      </c>
      <c r="J93" s="13"/>
      <c r="K93" s="8"/>
      <c r="L93" s="33">
        <f>I93+J93+K93</f>
        <v>10456.039999999999</v>
      </c>
      <c r="M93" s="32"/>
      <c r="N93" s="8"/>
      <c r="O93" s="33">
        <f>L93+M93+N93</f>
        <v>10456.039999999999</v>
      </c>
      <c r="P93" s="195"/>
      <c r="Q93" s="90">
        <f t="shared" si="21"/>
        <v>10456.039999999999</v>
      </c>
    </row>
    <row r="94" spans="1:17" ht="16.5" thickBot="1">
      <c r="A94" s="49" t="s">
        <v>66</v>
      </c>
      <c r="B94" s="107"/>
      <c r="C94" s="132">
        <f>C11+C14+C47+C93+C74+C41+C88</f>
        <v>3335582.4</v>
      </c>
      <c r="D94" s="133">
        <f aca="true" t="shared" si="23" ref="D94:Q94">D11+D14+D47+D93+D74+D41</f>
        <v>4424870.51</v>
      </c>
      <c r="E94" s="133">
        <f t="shared" si="23"/>
        <v>727.7</v>
      </c>
      <c r="F94" s="248">
        <f t="shared" si="23"/>
        <v>7761180.609999999</v>
      </c>
      <c r="G94" s="285">
        <f t="shared" si="23"/>
        <v>636938.9299999999</v>
      </c>
      <c r="H94" s="286">
        <f t="shared" si="23"/>
        <v>0</v>
      </c>
      <c r="I94" s="213">
        <f t="shared" si="23"/>
        <v>8398119.54</v>
      </c>
      <c r="J94" s="272">
        <f t="shared" si="23"/>
        <v>0</v>
      </c>
      <c r="K94" s="134">
        <f t="shared" si="23"/>
        <v>0</v>
      </c>
      <c r="L94" s="134">
        <f t="shared" si="23"/>
        <v>8397407.62</v>
      </c>
      <c r="M94" s="134">
        <f t="shared" si="23"/>
        <v>0</v>
      </c>
      <c r="N94" s="134">
        <f t="shared" si="23"/>
        <v>0</v>
      </c>
      <c r="O94" s="134">
        <f t="shared" si="23"/>
        <v>8397407.62</v>
      </c>
      <c r="P94" s="199">
        <f t="shared" si="23"/>
        <v>0</v>
      </c>
      <c r="Q94" s="134">
        <f t="shared" si="23"/>
        <v>8397407.62</v>
      </c>
    </row>
    <row r="95" spans="1:17" ht="12.75">
      <c r="A95" s="41" t="s">
        <v>67</v>
      </c>
      <c r="B95" s="100"/>
      <c r="C95" s="123"/>
      <c r="D95" s="126"/>
      <c r="E95" s="126"/>
      <c r="F95" s="246"/>
      <c r="G95" s="207"/>
      <c r="H95" s="209"/>
      <c r="I95" s="208"/>
      <c r="J95" s="267"/>
      <c r="K95" s="7"/>
      <c r="L95" s="31"/>
      <c r="M95" s="30"/>
      <c r="N95" s="7"/>
      <c r="O95" s="31"/>
      <c r="P95" s="195"/>
      <c r="Q95" s="91"/>
    </row>
    <row r="96" spans="1:17" ht="12.75">
      <c r="A96" s="41" t="s">
        <v>68</v>
      </c>
      <c r="B96" s="110"/>
      <c r="C96" s="123">
        <f>C97+C109</f>
        <v>41879</v>
      </c>
      <c r="D96" s="124">
        <f>D97+D109</f>
        <v>3823.4900000000002</v>
      </c>
      <c r="E96" s="124">
        <f>E97+E109</f>
        <v>0</v>
      </c>
      <c r="F96" s="125">
        <f>F97+F109</f>
        <v>45702.49</v>
      </c>
      <c r="G96" s="315">
        <f>G97+G109</f>
        <v>562.72</v>
      </c>
      <c r="H96" s="205"/>
      <c r="I96" s="206">
        <f>I97+I109</f>
        <v>46265.21</v>
      </c>
      <c r="J96" s="79">
        <f aca="true" t="shared" si="24" ref="J96:Q96">J97+J109</f>
        <v>0</v>
      </c>
      <c r="K96" s="29">
        <f t="shared" si="24"/>
        <v>0</v>
      </c>
      <c r="L96" s="29">
        <f t="shared" si="24"/>
        <v>45439.92</v>
      </c>
      <c r="M96" s="29">
        <f t="shared" si="24"/>
        <v>0</v>
      </c>
      <c r="N96" s="29">
        <f t="shared" si="24"/>
        <v>0</v>
      </c>
      <c r="O96" s="29">
        <f t="shared" si="24"/>
        <v>45439.92</v>
      </c>
      <c r="P96" s="29">
        <f t="shared" si="24"/>
        <v>0</v>
      </c>
      <c r="Q96" s="29">
        <f t="shared" si="24"/>
        <v>45439.92</v>
      </c>
    </row>
    <row r="97" spans="1:17" ht="12.75">
      <c r="A97" s="50" t="s">
        <v>69</v>
      </c>
      <c r="B97" s="110"/>
      <c r="C97" s="135">
        <f>SUM(C99:C108)</f>
        <v>41879</v>
      </c>
      <c r="D97" s="136">
        <f>SUM(D99:D108)</f>
        <v>3623.4900000000002</v>
      </c>
      <c r="E97" s="136">
        <f>SUM(E99:E108)</f>
        <v>-500</v>
      </c>
      <c r="F97" s="137">
        <f>SUM(F99:F108)</f>
        <v>45002.49</v>
      </c>
      <c r="G97" s="316">
        <f>SUM(G99:G108)</f>
        <v>462.72</v>
      </c>
      <c r="H97" s="215"/>
      <c r="I97" s="216">
        <f>SUM(I99:I108)</f>
        <v>45465.21</v>
      </c>
      <c r="J97" s="80">
        <f aca="true" t="shared" si="25" ref="J97:Q97">SUM(J99:J108)</f>
        <v>0</v>
      </c>
      <c r="K97" s="36">
        <f t="shared" si="25"/>
        <v>0</v>
      </c>
      <c r="L97" s="36">
        <f t="shared" si="25"/>
        <v>44639.92</v>
      </c>
      <c r="M97" s="36">
        <f t="shared" si="25"/>
        <v>0</v>
      </c>
      <c r="N97" s="36">
        <f t="shared" si="25"/>
        <v>0</v>
      </c>
      <c r="O97" s="36">
        <f t="shared" si="25"/>
        <v>44639.92</v>
      </c>
      <c r="P97" s="36">
        <f t="shared" si="25"/>
        <v>0</v>
      </c>
      <c r="Q97" s="36">
        <f t="shared" si="25"/>
        <v>44639.92</v>
      </c>
    </row>
    <row r="98" spans="1:17" ht="10.5" customHeight="1">
      <c r="A98" s="46" t="s">
        <v>38</v>
      </c>
      <c r="B98" s="82"/>
      <c r="C98" s="128"/>
      <c r="D98" s="126"/>
      <c r="E98" s="126"/>
      <c r="F98" s="246"/>
      <c r="G98" s="207"/>
      <c r="H98" s="209"/>
      <c r="I98" s="208"/>
      <c r="J98" s="267"/>
      <c r="K98" s="7"/>
      <c r="L98" s="31"/>
      <c r="M98" s="30"/>
      <c r="N98" s="7"/>
      <c r="O98" s="31"/>
      <c r="P98" s="195"/>
      <c r="Q98" s="91"/>
    </row>
    <row r="99" spans="1:17" ht="12.75">
      <c r="A99" s="44" t="s">
        <v>177</v>
      </c>
      <c r="B99" s="108"/>
      <c r="C99" s="128">
        <v>15810</v>
      </c>
      <c r="D99" s="126">
        <v>400</v>
      </c>
      <c r="E99" s="126"/>
      <c r="F99" s="246">
        <f>C99+D99</f>
        <v>16210</v>
      </c>
      <c r="G99" s="207"/>
      <c r="H99" s="209"/>
      <c r="I99" s="208">
        <f aca="true" t="shared" si="26" ref="I99:I108">F99+G99+H99</f>
        <v>16210</v>
      </c>
      <c r="J99" s="267"/>
      <c r="K99" s="7"/>
      <c r="L99" s="31">
        <f aca="true" t="shared" si="27" ref="L99:L108">I99+J99+K99</f>
        <v>16210</v>
      </c>
      <c r="M99" s="30"/>
      <c r="N99" s="7"/>
      <c r="O99" s="31">
        <f aca="true" t="shared" si="28" ref="O99:O108">L99+M99+N99</f>
        <v>16210</v>
      </c>
      <c r="P99" s="195"/>
      <c r="Q99" s="91">
        <f t="shared" si="21"/>
        <v>16210</v>
      </c>
    </row>
    <row r="100" spans="1:17" ht="12.75">
      <c r="A100" s="44" t="s">
        <v>70</v>
      </c>
      <c r="B100" s="108"/>
      <c r="C100" s="128">
        <v>3543</v>
      </c>
      <c r="D100" s="126">
        <v>136</v>
      </c>
      <c r="E100" s="126"/>
      <c r="F100" s="246">
        <f>C100+D100</f>
        <v>3679</v>
      </c>
      <c r="G100" s="207"/>
      <c r="H100" s="209"/>
      <c r="I100" s="208">
        <f t="shared" si="26"/>
        <v>3679</v>
      </c>
      <c r="J100" s="267"/>
      <c r="K100" s="7"/>
      <c r="L100" s="31">
        <f t="shared" si="27"/>
        <v>3679</v>
      </c>
      <c r="M100" s="30"/>
      <c r="N100" s="7"/>
      <c r="O100" s="31">
        <f t="shared" si="28"/>
        <v>3679</v>
      </c>
      <c r="P100" s="195"/>
      <c r="Q100" s="91">
        <f t="shared" si="21"/>
        <v>3679</v>
      </c>
    </row>
    <row r="101" spans="1:17" ht="13.5" thickBot="1">
      <c r="A101" s="326" t="s">
        <v>357</v>
      </c>
      <c r="B101" s="327"/>
      <c r="C101" s="328"/>
      <c r="D101" s="329"/>
      <c r="E101" s="329"/>
      <c r="F101" s="330">
        <f>C101+D101</f>
        <v>0</v>
      </c>
      <c r="G101" s="331">
        <v>250</v>
      </c>
      <c r="H101" s="332"/>
      <c r="I101" s="333">
        <f t="shared" si="26"/>
        <v>250</v>
      </c>
      <c r="J101" s="267"/>
      <c r="K101" s="7"/>
      <c r="L101" s="31"/>
      <c r="M101" s="30"/>
      <c r="N101" s="7"/>
      <c r="O101" s="31"/>
      <c r="P101" s="195"/>
      <c r="Q101" s="91"/>
    </row>
    <row r="102" spans="1:17" ht="12.75">
      <c r="A102" s="44" t="s">
        <v>71</v>
      </c>
      <c r="B102" s="108"/>
      <c r="C102" s="128">
        <v>1100</v>
      </c>
      <c r="D102" s="126"/>
      <c r="E102" s="126"/>
      <c r="F102" s="246">
        <f>C102+D102+E102</f>
        <v>1100</v>
      </c>
      <c r="G102" s="207"/>
      <c r="H102" s="209"/>
      <c r="I102" s="208">
        <f t="shared" si="26"/>
        <v>1100</v>
      </c>
      <c r="J102" s="267"/>
      <c r="K102" s="7"/>
      <c r="L102" s="31">
        <f t="shared" si="27"/>
        <v>1100</v>
      </c>
      <c r="M102" s="30"/>
      <c r="N102" s="7"/>
      <c r="O102" s="31">
        <f t="shared" si="28"/>
        <v>1100</v>
      </c>
      <c r="P102" s="195"/>
      <c r="Q102" s="91">
        <f t="shared" si="21"/>
        <v>1100</v>
      </c>
    </row>
    <row r="103" spans="1:17" ht="12.75" hidden="1">
      <c r="A103" s="44" t="s">
        <v>222</v>
      </c>
      <c r="B103" s="108"/>
      <c r="C103" s="128"/>
      <c r="D103" s="126"/>
      <c r="E103" s="126"/>
      <c r="F103" s="246">
        <f>C103+D103+E103</f>
        <v>0</v>
      </c>
      <c r="G103" s="207"/>
      <c r="H103" s="209"/>
      <c r="I103" s="208">
        <f t="shared" si="26"/>
        <v>0</v>
      </c>
      <c r="J103" s="267"/>
      <c r="K103" s="7"/>
      <c r="L103" s="31">
        <f t="shared" si="27"/>
        <v>0</v>
      </c>
      <c r="M103" s="30"/>
      <c r="N103" s="7"/>
      <c r="O103" s="31">
        <f t="shared" si="28"/>
        <v>0</v>
      </c>
      <c r="P103" s="195"/>
      <c r="Q103" s="91">
        <f t="shared" si="21"/>
        <v>0</v>
      </c>
    </row>
    <row r="104" spans="1:17" ht="12.75" hidden="1">
      <c r="A104" s="44" t="s">
        <v>223</v>
      </c>
      <c r="B104" s="108"/>
      <c r="C104" s="128"/>
      <c r="D104" s="126"/>
      <c r="E104" s="126"/>
      <c r="F104" s="246">
        <f>C104+D104+E104</f>
        <v>0</v>
      </c>
      <c r="G104" s="207"/>
      <c r="H104" s="209"/>
      <c r="I104" s="208">
        <f t="shared" si="26"/>
        <v>0</v>
      </c>
      <c r="J104" s="267"/>
      <c r="K104" s="7"/>
      <c r="L104" s="31">
        <f t="shared" si="27"/>
        <v>0</v>
      </c>
      <c r="M104" s="30"/>
      <c r="N104" s="7"/>
      <c r="O104" s="31">
        <f t="shared" si="28"/>
        <v>0</v>
      </c>
      <c r="P104" s="195"/>
      <c r="Q104" s="91">
        <f t="shared" si="21"/>
        <v>0</v>
      </c>
    </row>
    <row r="105" spans="1:17" ht="12.75">
      <c r="A105" s="44" t="s">
        <v>72</v>
      </c>
      <c r="B105" s="108"/>
      <c r="C105" s="128">
        <v>11326</v>
      </c>
      <c r="D105" s="126">
        <f>500+12.2</f>
        <v>512.2</v>
      </c>
      <c r="E105" s="126">
        <v>-500</v>
      </c>
      <c r="F105" s="246">
        <f>C105+D105+E105</f>
        <v>11338.2</v>
      </c>
      <c r="G105" s="207">
        <f>112.72+200</f>
        <v>312.72</v>
      </c>
      <c r="H105" s="209"/>
      <c r="I105" s="208">
        <f t="shared" si="26"/>
        <v>11650.92</v>
      </c>
      <c r="J105" s="267"/>
      <c r="K105" s="7"/>
      <c r="L105" s="31">
        <f t="shared" si="27"/>
        <v>11650.92</v>
      </c>
      <c r="M105" s="30"/>
      <c r="N105" s="7"/>
      <c r="O105" s="31">
        <f t="shared" si="28"/>
        <v>11650.92</v>
      </c>
      <c r="P105" s="195"/>
      <c r="Q105" s="91">
        <f t="shared" si="21"/>
        <v>11650.92</v>
      </c>
    </row>
    <row r="106" spans="1:17" ht="12.75">
      <c r="A106" s="44" t="s">
        <v>104</v>
      </c>
      <c r="B106" s="108"/>
      <c r="C106" s="128"/>
      <c r="D106" s="126">
        <f>45.34+529.95</f>
        <v>575.2900000000001</v>
      </c>
      <c r="E106" s="126"/>
      <c r="F106" s="246">
        <f>C106+D106+E106</f>
        <v>575.2900000000001</v>
      </c>
      <c r="G106" s="207"/>
      <c r="H106" s="209"/>
      <c r="I106" s="208">
        <f t="shared" si="26"/>
        <v>575.2900000000001</v>
      </c>
      <c r="J106" s="267"/>
      <c r="K106" s="7"/>
      <c r="L106" s="31"/>
      <c r="M106" s="30"/>
      <c r="N106" s="7"/>
      <c r="O106" s="31"/>
      <c r="P106" s="195"/>
      <c r="Q106" s="91"/>
    </row>
    <row r="107" spans="1:17" ht="12.75">
      <c r="A107" s="44" t="s">
        <v>73</v>
      </c>
      <c r="B107" s="108"/>
      <c r="C107" s="128">
        <v>500</v>
      </c>
      <c r="D107" s="126"/>
      <c r="E107" s="126"/>
      <c r="F107" s="246">
        <f>SUM(C107:E107)</f>
        <v>500</v>
      </c>
      <c r="G107" s="207"/>
      <c r="H107" s="209"/>
      <c r="I107" s="208">
        <f t="shared" si="26"/>
        <v>500</v>
      </c>
      <c r="J107" s="267"/>
      <c r="K107" s="7"/>
      <c r="L107" s="31">
        <f t="shared" si="27"/>
        <v>500</v>
      </c>
      <c r="M107" s="30"/>
      <c r="N107" s="7"/>
      <c r="O107" s="31">
        <f t="shared" si="28"/>
        <v>500</v>
      </c>
      <c r="P107" s="195"/>
      <c r="Q107" s="91">
        <f t="shared" si="21"/>
        <v>500</v>
      </c>
    </row>
    <row r="108" spans="1:17" ht="12.75">
      <c r="A108" s="44" t="s">
        <v>74</v>
      </c>
      <c r="B108" s="108"/>
      <c r="C108" s="128">
        <v>9600</v>
      </c>
      <c r="D108" s="126">
        <f>2200-200</f>
        <v>2000</v>
      </c>
      <c r="E108" s="126"/>
      <c r="F108" s="246">
        <f>SUM(C108:E108)</f>
        <v>11600</v>
      </c>
      <c r="G108" s="207">
        <v>-100</v>
      </c>
      <c r="H108" s="209"/>
      <c r="I108" s="208">
        <f t="shared" si="26"/>
        <v>11500</v>
      </c>
      <c r="J108" s="267"/>
      <c r="K108" s="7"/>
      <c r="L108" s="31">
        <f t="shared" si="27"/>
        <v>11500</v>
      </c>
      <c r="M108" s="30"/>
      <c r="N108" s="7"/>
      <c r="O108" s="31">
        <f t="shared" si="28"/>
        <v>11500</v>
      </c>
      <c r="P108" s="195"/>
      <c r="Q108" s="91">
        <f t="shared" si="21"/>
        <v>11500</v>
      </c>
    </row>
    <row r="109" spans="1:17" ht="12.75">
      <c r="A109" s="51" t="s">
        <v>75</v>
      </c>
      <c r="B109" s="112"/>
      <c r="C109" s="140">
        <f>SUM(C111:C113)</f>
        <v>0</v>
      </c>
      <c r="D109" s="141">
        <f>SUM(D111:D113)</f>
        <v>200</v>
      </c>
      <c r="E109" s="141">
        <f>SUM(E111:E113)</f>
        <v>500</v>
      </c>
      <c r="F109" s="249">
        <f>SUM(F111:F113)</f>
        <v>700</v>
      </c>
      <c r="G109" s="287">
        <f aca="true" t="shared" si="29" ref="G109:Q109">SUM(G111:G113)</f>
        <v>100</v>
      </c>
      <c r="H109" s="288">
        <f t="shared" si="29"/>
        <v>0</v>
      </c>
      <c r="I109" s="217">
        <f t="shared" si="29"/>
        <v>800</v>
      </c>
      <c r="J109" s="273">
        <f t="shared" si="29"/>
        <v>0</v>
      </c>
      <c r="K109" s="142">
        <f t="shared" si="29"/>
        <v>0</v>
      </c>
      <c r="L109" s="142">
        <f t="shared" si="29"/>
        <v>800</v>
      </c>
      <c r="M109" s="142">
        <f t="shared" si="29"/>
        <v>0</v>
      </c>
      <c r="N109" s="142">
        <f t="shared" si="29"/>
        <v>0</v>
      </c>
      <c r="O109" s="142">
        <f t="shared" si="29"/>
        <v>800</v>
      </c>
      <c r="P109" s="142">
        <f t="shared" si="29"/>
        <v>0</v>
      </c>
      <c r="Q109" s="142">
        <f t="shared" si="29"/>
        <v>800</v>
      </c>
    </row>
    <row r="110" spans="1:17" ht="11.25" customHeight="1">
      <c r="A110" s="42" t="s">
        <v>38</v>
      </c>
      <c r="B110" s="108"/>
      <c r="C110" s="129"/>
      <c r="D110" s="130"/>
      <c r="E110" s="130"/>
      <c r="F110" s="247"/>
      <c r="G110" s="211"/>
      <c r="H110" s="212"/>
      <c r="I110" s="210"/>
      <c r="J110" s="13"/>
      <c r="K110" s="8"/>
      <c r="L110" s="33"/>
      <c r="M110" s="32"/>
      <c r="N110" s="8"/>
      <c r="O110" s="33"/>
      <c r="P110" s="195"/>
      <c r="Q110" s="91"/>
    </row>
    <row r="111" spans="1:17" ht="12.75" hidden="1">
      <c r="A111" s="44" t="s">
        <v>224</v>
      </c>
      <c r="B111" s="108"/>
      <c r="C111" s="128"/>
      <c r="D111" s="126"/>
      <c r="E111" s="126"/>
      <c r="F111" s="246">
        <f>C111+D111</f>
        <v>0</v>
      </c>
      <c r="G111" s="207"/>
      <c r="H111" s="209"/>
      <c r="I111" s="208">
        <f>F111+G111+H111</f>
        <v>0</v>
      </c>
      <c r="J111" s="267"/>
      <c r="K111" s="7"/>
      <c r="L111" s="31">
        <f>I111+J111+K111</f>
        <v>0</v>
      </c>
      <c r="M111" s="30"/>
      <c r="N111" s="7"/>
      <c r="O111" s="31">
        <f>L111+M111+N111</f>
        <v>0</v>
      </c>
      <c r="P111" s="195"/>
      <c r="Q111" s="91">
        <f t="shared" si="21"/>
        <v>0</v>
      </c>
    </row>
    <row r="112" spans="1:17" ht="12.75">
      <c r="A112" s="47" t="s">
        <v>74</v>
      </c>
      <c r="B112" s="111"/>
      <c r="C112" s="138"/>
      <c r="D112" s="139">
        <v>200</v>
      </c>
      <c r="E112" s="139">
        <v>500</v>
      </c>
      <c r="F112" s="250">
        <f>C112+D112+E112</f>
        <v>700</v>
      </c>
      <c r="G112" s="218">
        <v>100</v>
      </c>
      <c r="H112" s="219"/>
      <c r="I112" s="220">
        <f>F112+G112+H112</f>
        <v>800</v>
      </c>
      <c r="J112" s="12"/>
      <c r="K112" s="10"/>
      <c r="L112" s="35">
        <f>I112+J112+K112</f>
        <v>800</v>
      </c>
      <c r="M112" s="34"/>
      <c r="N112" s="10"/>
      <c r="O112" s="35">
        <f>L112+M112+N112</f>
        <v>800</v>
      </c>
      <c r="P112" s="200"/>
      <c r="Q112" s="93">
        <f t="shared" si="21"/>
        <v>800</v>
      </c>
    </row>
    <row r="113" spans="1:17" ht="12.75" hidden="1">
      <c r="A113" s="47" t="s">
        <v>76</v>
      </c>
      <c r="B113" s="111"/>
      <c r="C113" s="138"/>
      <c r="D113" s="139"/>
      <c r="E113" s="139"/>
      <c r="F113" s="250">
        <f>SUM(C113:E113)</f>
        <v>0</v>
      </c>
      <c r="G113" s="218"/>
      <c r="H113" s="219"/>
      <c r="I113" s="220">
        <f>F113+G113+H113</f>
        <v>0</v>
      </c>
      <c r="J113" s="12"/>
      <c r="K113" s="10"/>
      <c r="L113" s="35">
        <f>I113+J113+K113</f>
        <v>0</v>
      </c>
      <c r="M113" s="34"/>
      <c r="N113" s="10"/>
      <c r="O113" s="35">
        <f>L113+M113+N113</f>
        <v>0</v>
      </c>
      <c r="P113" s="195"/>
      <c r="Q113" s="91">
        <f t="shared" si="21"/>
        <v>0</v>
      </c>
    </row>
    <row r="114" spans="1:17" ht="12.75">
      <c r="A114" s="41" t="s">
        <v>77</v>
      </c>
      <c r="B114" s="112"/>
      <c r="C114" s="123">
        <f>C115+C136</f>
        <v>285944.6</v>
      </c>
      <c r="D114" s="124">
        <f>D115+D136</f>
        <v>9851.460000000001</v>
      </c>
      <c r="E114" s="124">
        <f>E115+E136</f>
        <v>0</v>
      </c>
      <c r="F114" s="245">
        <f>F115+F136</f>
        <v>295796.06</v>
      </c>
      <c r="G114" s="204">
        <f aca="true" t="shared" si="30" ref="G114:Q114">G115+G136</f>
        <v>551</v>
      </c>
      <c r="H114" s="205">
        <f t="shared" si="30"/>
        <v>0</v>
      </c>
      <c r="I114" s="206">
        <f t="shared" si="30"/>
        <v>296347.06</v>
      </c>
      <c r="J114" s="268">
        <f t="shared" si="30"/>
        <v>0</v>
      </c>
      <c r="K114" s="125">
        <f t="shared" si="30"/>
        <v>0</v>
      </c>
      <c r="L114" s="125">
        <f t="shared" si="30"/>
        <v>296033.3</v>
      </c>
      <c r="M114" s="125">
        <f t="shared" si="30"/>
        <v>0</v>
      </c>
      <c r="N114" s="125">
        <f t="shared" si="30"/>
        <v>0</v>
      </c>
      <c r="O114" s="125">
        <f t="shared" si="30"/>
        <v>296033.3</v>
      </c>
      <c r="P114" s="125">
        <f t="shared" si="30"/>
        <v>0</v>
      </c>
      <c r="Q114" s="125">
        <f t="shared" si="30"/>
        <v>296033.3</v>
      </c>
    </row>
    <row r="115" spans="1:17" ht="12.75">
      <c r="A115" s="50" t="s">
        <v>69</v>
      </c>
      <c r="B115" s="112"/>
      <c r="C115" s="135">
        <f>SUM(C117:C135)</f>
        <v>285944.6</v>
      </c>
      <c r="D115" s="136">
        <f>SUM(D117:D135)</f>
        <v>8731.460000000001</v>
      </c>
      <c r="E115" s="136">
        <f>SUM(E117:E135)</f>
        <v>0</v>
      </c>
      <c r="F115" s="190">
        <f>SUM(F117:F135)</f>
        <v>294676.06</v>
      </c>
      <c r="G115" s="214">
        <f aca="true" t="shared" si="31" ref="G115:Q115">SUM(G117:G135)</f>
        <v>551</v>
      </c>
      <c r="H115" s="215">
        <f t="shared" si="31"/>
        <v>0</v>
      </c>
      <c r="I115" s="216">
        <f t="shared" si="31"/>
        <v>295227.06</v>
      </c>
      <c r="J115" s="274">
        <f t="shared" si="31"/>
        <v>0</v>
      </c>
      <c r="K115" s="137">
        <f t="shared" si="31"/>
        <v>0</v>
      </c>
      <c r="L115" s="137">
        <f t="shared" si="31"/>
        <v>294913.3</v>
      </c>
      <c r="M115" s="137">
        <f t="shared" si="31"/>
        <v>0</v>
      </c>
      <c r="N115" s="137">
        <f t="shared" si="31"/>
        <v>0</v>
      </c>
      <c r="O115" s="137">
        <f t="shared" si="31"/>
        <v>294913.3</v>
      </c>
      <c r="P115" s="137">
        <f t="shared" si="31"/>
        <v>0</v>
      </c>
      <c r="Q115" s="137">
        <f t="shared" si="31"/>
        <v>294913.3</v>
      </c>
    </row>
    <row r="116" spans="1:17" ht="12.75">
      <c r="A116" s="46" t="s">
        <v>38</v>
      </c>
      <c r="B116" s="108"/>
      <c r="C116" s="128"/>
      <c r="D116" s="126"/>
      <c r="E116" s="126"/>
      <c r="F116" s="246"/>
      <c r="G116" s="207"/>
      <c r="H116" s="209"/>
      <c r="I116" s="208"/>
      <c r="J116" s="267"/>
      <c r="K116" s="7"/>
      <c r="L116" s="31"/>
      <c r="M116" s="30"/>
      <c r="N116" s="7"/>
      <c r="O116" s="31"/>
      <c r="P116" s="195"/>
      <c r="Q116" s="91"/>
    </row>
    <row r="117" spans="1:17" ht="12.75">
      <c r="A117" s="53" t="s">
        <v>178</v>
      </c>
      <c r="B117" s="108"/>
      <c r="C117" s="128">
        <v>139330.4</v>
      </c>
      <c r="D117" s="126">
        <v>2175</v>
      </c>
      <c r="E117" s="126"/>
      <c r="F117" s="246">
        <f>C117+D117+E117</f>
        <v>141505.4</v>
      </c>
      <c r="G117" s="207"/>
      <c r="H117" s="209"/>
      <c r="I117" s="208">
        <f>F117+G117+H117</f>
        <v>141505.4</v>
      </c>
      <c r="J117" s="267"/>
      <c r="K117" s="7"/>
      <c r="L117" s="31">
        <f>I117+J117+K117</f>
        <v>141505.4</v>
      </c>
      <c r="M117" s="30"/>
      <c r="N117" s="7"/>
      <c r="O117" s="31">
        <f>L117+M117+N117</f>
        <v>141505.4</v>
      </c>
      <c r="P117" s="195"/>
      <c r="Q117" s="91">
        <f t="shared" si="21"/>
        <v>141505.4</v>
      </c>
    </row>
    <row r="118" spans="1:17" ht="12.75">
      <c r="A118" s="44" t="s">
        <v>70</v>
      </c>
      <c r="B118" s="108"/>
      <c r="C118" s="128">
        <v>46925.5</v>
      </c>
      <c r="D118" s="126">
        <v>748.9</v>
      </c>
      <c r="E118" s="126"/>
      <c r="F118" s="246">
        <f aca="true" t="shared" si="32" ref="F118:F135">C118+D118+E118</f>
        <v>47674.4</v>
      </c>
      <c r="G118" s="207"/>
      <c r="H118" s="209"/>
      <c r="I118" s="208">
        <f aca="true" t="shared" si="33" ref="I118:I135">F118+G118+H118</f>
        <v>47674.4</v>
      </c>
      <c r="J118" s="267"/>
      <c r="K118" s="7"/>
      <c r="L118" s="31">
        <f aca="true" t="shared" si="34" ref="L118:L135">I118+J118+K118</f>
        <v>47674.4</v>
      </c>
      <c r="M118" s="30"/>
      <c r="N118" s="7"/>
      <c r="O118" s="31">
        <f aca="true" t="shared" si="35" ref="O118:O135">L118+M118+N118</f>
        <v>47674.4</v>
      </c>
      <c r="P118" s="195"/>
      <c r="Q118" s="91">
        <f t="shared" si="21"/>
        <v>47674.4</v>
      </c>
    </row>
    <row r="119" spans="1:17" ht="12.75">
      <c r="A119" s="44" t="s">
        <v>78</v>
      </c>
      <c r="B119" s="108"/>
      <c r="C119" s="128">
        <v>200</v>
      </c>
      <c r="D119" s="126"/>
      <c r="E119" s="126"/>
      <c r="F119" s="246">
        <f t="shared" si="32"/>
        <v>200</v>
      </c>
      <c r="G119" s="207"/>
      <c r="H119" s="209"/>
      <c r="I119" s="208">
        <f t="shared" si="33"/>
        <v>200</v>
      </c>
      <c r="J119" s="267"/>
      <c r="K119" s="7"/>
      <c r="L119" s="31">
        <f t="shared" si="34"/>
        <v>200</v>
      </c>
      <c r="M119" s="30"/>
      <c r="N119" s="7"/>
      <c r="O119" s="31">
        <f t="shared" si="35"/>
        <v>200</v>
      </c>
      <c r="P119" s="195"/>
      <c r="Q119" s="91">
        <f t="shared" si="21"/>
        <v>200</v>
      </c>
    </row>
    <row r="120" spans="1:17" ht="12.75">
      <c r="A120" s="44" t="s">
        <v>72</v>
      </c>
      <c r="B120" s="108"/>
      <c r="C120" s="128">
        <v>40439.7</v>
      </c>
      <c r="D120" s="126">
        <f>480+76.1+200+200</f>
        <v>956.1</v>
      </c>
      <c r="E120" s="126"/>
      <c r="F120" s="246">
        <f t="shared" si="32"/>
        <v>41395.799999999996</v>
      </c>
      <c r="G120" s="207">
        <f>236+200</f>
        <v>436</v>
      </c>
      <c r="H120" s="209"/>
      <c r="I120" s="208">
        <f t="shared" si="33"/>
        <v>41831.799999999996</v>
      </c>
      <c r="J120" s="267"/>
      <c r="K120" s="7"/>
      <c r="L120" s="31">
        <f t="shared" si="34"/>
        <v>41831.799999999996</v>
      </c>
      <c r="M120" s="30"/>
      <c r="N120" s="7"/>
      <c r="O120" s="31">
        <f t="shared" si="35"/>
        <v>41831.799999999996</v>
      </c>
      <c r="P120" s="195"/>
      <c r="Q120" s="91">
        <f t="shared" si="21"/>
        <v>41831.799999999996</v>
      </c>
    </row>
    <row r="121" spans="1:17" ht="12.75">
      <c r="A121" s="44" t="s">
        <v>79</v>
      </c>
      <c r="B121" s="108" t="s">
        <v>264</v>
      </c>
      <c r="C121" s="128">
        <v>152</v>
      </c>
      <c r="D121" s="126"/>
      <c r="E121" s="126"/>
      <c r="F121" s="246">
        <f t="shared" si="32"/>
        <v>152</v>
      </c>
      <c r="G121" s="207"/>
      <c r="H121" s="209"/>
      <c r="I121" s="208">
        <f t="shared" si="33"/>
        <v>152</v>
      </c>
      <c r="J121" s="267"/>
      <c r="K121" s="7"/>
      <c r="L121" s="31">
        <f t="shared" si="34"/>
        <v>152</v>
      </c>
      <c r="M121" s="30"/>
      <c r="N121" s="7"/>
      <c r="O121" s="31">
        <f t="shared" si="35"/>
        <v>152</v>
      </c>
      <c r="P121" s="195"/>
      <c r="Q121" s="91">
        <f t="shared" si="21"/>
        <v>152</v>
      </c>
    </row>
    <row r="122" spans="1:17" ht="12.75" hidden="1">
      <c r="A122" s="44" t="s">
        <v>80</v>
      </c>
      <c r="B122" s="108" t="s">
        <v>263</v>
      </c>
      <c r="C122" s="128"/>
      <c r="D122" s="126"/>
      <c r="E122" s="126"/>
      <c r="F122" s="246">
        <f t="shared" si="32"/>
        <v>0</v>
      </c>
      <c r="G122" s="207"/>
      <c r="H122" s="209"/>
      <c r="I122" s="208">
        <f t="shared" si="33"/>
        <v>0</v>
      </c>
      <c r="J122" s="267"/>
      <c r="K122" s="7"/>
      <c r="L122" s="31">
        <f t="shared" si="34"/>
        <v>0</v>
      </c>
      <c r="M122" s="30"/>
      <c r="N122" s="7"/>
      <c r="O122" s="31">
        <f t="shared" si="35"/>
        <v>0</v>
      </c>
      <c r="P122" s="195"/>
      <c r="Q122" s="91">
        <f t="shared" si="21"/>
        <v>0</v>
      </c>
    </row>
    <row r="123" spans="1:17" ht="12.75">
      <c r="A123" s="44" t="s">
        <v>81</v>
      </c>
      <c r="B123" s="108"/>
      <c r="C123" s="128">
        <v>58897</v>
      </c>
      <c r="D123" s="126"/>
      <c r="E123" s="126"/>
      <c r="F123" s="246">
        <f t="shared" si="32"/>
        <v>58897</v>
      </c>
      <c r="G123" s="207"/>
      <c r="H123" s="209"/>
      <c r="I123" s="208">
        <f t="shared" si="33"/>
        <v>58897</v>
      </c>
      <c r="J123" s="267"/>
      <c r="K123" s="7"/>
      <c r="L123" s="31">
        <f t="shared" si="34"/>
        <v>58897</v>
      </c>
      <c r="M123" s="30"/>
      <c r="N123" s="7"/>
      <c r="O123" s="31">
        <f t="shared" si="35"/>
        <v>58897</v>
      </c>
      <c r="P123" s="195"/>
      <c r="Q123" s="91">
        <f t="shared" si="21"/>
        <v>58897</v>
      </c>
    </row>
    <row r="124" spans="1:17" ht="12.75">
      <c r="A124" s="44" t="s">
        <v>103</v>
      </c>
      <c r="B124" s="108"/>
      <c r="C124" s="128"/>
      <c r="D124" s="126">
        <f>1343.17</f>
        <v>1343.17</v>
      </c>
      <c r="E124" s="126"/>
      <c r="F124" s="246">
        <f t="shared" si="32"/>
        <v>1343.17</v>
      </c>
      <c r="G124" s="207"/>
      <c r="H124" s="209"/>
      <c r="I124" s="208">
        <f t="shared" si="33"/>
        <v>1343.17</v>
      </c>
      <c r="J124" s="267"/>
      <c r="K124" s="7"/>
      <c r="L124" s="31">
        <f t="shared" si="34"/>
        <v>1343.17</v>
      </c>
      <c r="M124" s="30"/>
      <c r="N124" s="7"/>
      <c r="O124" s="31">
        <f t="shared" si="35"/>
        <v>1343.17</v>
      </c>
      <c r="P124" s="195"/>
      <c r="Q124" s="91">
        <f t="shared" si="21"/>
        <v>1343.17</v>
      </c>
    </row>
    <row r="125" spans="1:17" ht="12.75">
      <c r="A125" s="44" t="s">
        <v>272</v>
      </c>
      <c r="B125" s="108">
        <v>2600</v>
      </c>
      <c r="C125" s="128"/>
      <c r="D125" s="126">
        <f>73.77</f>
        <v>73.77</v>
      </c>
      <c r="E125" s="126"/>
      <c r="F125" s="246">
        <f t="shared" si="32"/>
        <v>73.77</v>
      </c>
      <c r="G125" s="207"/>
      <c r="H125" s="209"/>
      <c r="I125" s="208">
        <f t="shared" si="33"/>
        <v>73.77</v>
      </c>
      <c r="J125" s="267"/>
      <c r="K125" s="7"/>
      <c r="L125" s="31">
        <f t="shared" si="34"/>
        <v>73.77</v>
      </c>
      <c r="M125" s="30"/>
      <c r="N125" s="7"/>
      <c r="O125" s="31">
        <f t="shared" si="35"/>
        <v>73.77</v>
      </c>
      <c r="P125" s="195"/>
      <c r="Q125" s="91">
        <f t="shared" si="21"/>
        <v>73.77</v>
      </c>
    </row>
    <row r="126" spans="1:17" ht="12.75" hidden="1">
      <c r="A126" s="44" t="s">
        <v>190</v>
      </c>
      <c r="B126" s="108"/>
      <c r="C126" s="128"/>
      <c r="D126" s="126"/>
      <c r="E126" s="126"/>
      <c r="F126" s="246">
        <f t="shared" si="32"/>
        <v>0</v>
      </c>
      <c r="G126" s="207"/>
      <c r="H126" s="209"/>
      <c r="I126" s="208">
        <f t="shared" si="33"/>
        <v>0</v>
      </c>
      <c r="J126" s="267"/>
      <c r="K126" s="7"/>
      <c r="L126" s="31">
        <f t="shared" si="34"/>
        <v>0</v>
      </c>
      <c r="M126" s="30"/>
      <c r="N126" s="7"/>
      <c r="O126" s="31">
        <f t="shared" si="35"/>
        <v>0</v>
      </c>
      <c r="P126" s="195"/>
      <c r="Q126" s="91">
        <f t="shared" si="21"/>
        <v>0</v>
      </c>
    </row>
    <row r="127" spans="1:17" ht="12.75">
      <c r="A127" s="109" t="s">
        <v>271</v>
      </c>
      <c r="B127" s="108">
        <v>1800</v>
      </c>
      <c r="C127" s="128"/>
      <c r="D127" s="126">
        <f>3220.76</f>
        <v>3220.76</v>
      </c>
      <c r="E127" s="126"/>
      <c r="F127" s="246">
        <f t="shared" si="32"/>
        <v>3220.76</v>
      </c>
      <c r="G127" s="207"/>
      <c r="H127" s="209"/>
      <c r="I127" s="208">
        <f t="shared" si="33"/>
        <v>3220.76</v>
      </c>
      <c r="J127" s="267"/>
      <c r="K127" s="7"/>
      <c r="L127" s="31">
        <f t="shared" si="34"/>
        <v>3220.76</v>
      </c>
      <c r="M127" s="30"/>
      <c r="N127" s="7"/>
      <c r="O127" s="31">
        <f t="shared" si="35"/>
        <v>3220.76</v>
      </c>
      <c r="P127" s="195"/>
      <c r="Q127" s="91">
        <f t="shared" si="21"/>
        <v>3220.76</v>
      </c>
    </row>
    <row r="128" spans="1:17" ht="12.75" hidden="1">
      <c r="A128" s="109" t="s">
        <v>219</v>
      </c>
      <c r="B128" s="108"/>
      <c r="C128" s="128"/>
      <c r="D128" s="126"/>
      <c r="E128" s="126"/>
      <c r="F128" s="246">
        <f t="shared" si="32"/>
        <v>0</v>
      </c>
      <c r="G128" s="207"/>
      <c r="H128" s="209"/>
      <c r="I128" s="208">
        <f t="shared" si="33"/>
        <v>0</v>
      </c>
      <c r="J128" s="267"/>
      <c r="K128" s="7"/>
      <c r="L128" s="31">
        <f t="shared" si="34"/>
        <v>0</v>
      </c>
      <c r="M128" s="30"/>
      <c r="N128" s="7"/>
      <c r="O128" s="31">
        <f t="shared" si="35"/>
        <v>0</v>
      </c>
      <c r="P128" s="195"/>
      <c r="Q128" s="91">
        <f t="shared" si="21"/>
        <v>0</v>
      </c>
    </row>
    <row r="129" spans="1:17" ht="12.75">
      <c r="A129" s="109" t="s">
        <v>273</v>
      </c>
      <c r="B129" s="108">
        <v>3200</v>
      </c>
      <c r="C129" s="128"/>
      <c r="D129" s="126">
        <f>213.76</f>
        <v>213.76</v>
      </c>
      <c r="E129" s="126"/>
      <c r="F129" s="246">
        <f t="shared" si="32"/>
        <v>213.76</v>
      </c>
      <c r="G129" s="207"/>
      <c r="H129" s="209"/>
      <c r="I129" s="208">
        <f t="shared" si="33"/>
        <v>213.76</v>
      </c>
      <c r="J129" s="267"/>
      <c r="K129" s="7"/>
      <c r="L129" s="31"/>
      <c r="M129" s="30"/>
      <c r="N129" s="7"/>
      <c r="O129" s="31"/>
      <c r="P129" s="195"/>
      <c r="Q129" s="91"/>
    </row>
    <row r="130" spans="1:17" ht="12.75" hidden="1">
      <c r="A130" s="44" t="s">
        <v>274</v>
      </c>
      <c r="B130" s="108"/>
      <c r="C130" s="128"/>
      <c r="D130" s="126"/>
      <c r="E130" s="126"/>
      <c r="F130" s="246">
        <f t="shared" si="32"/>
        <v>0</v>
      </c>
      <c r="G130" s="207"/>
      <c r="H130" s="209"/>
      <c r="I130" s="208">
        <f t="shared" si="33"/>
        <v>0</v>
      </c>
      <c r="J130" s="267"/>
      <c r="K130" s="7"/>
      <c r="L130" s="31"/>
      <c r="M130" s="30"/>
      <c r="N130" s="7"/>
      <c r="O130" s="31"/>
      <c r="P130" s="195"/>
      <c r="Q130" s="91"/>
    </row>
    <row r="131" spans="1:17" ht="12.75" hidden="1">
      <c r="A131" s="44" t="s">
        <v>82</v>
      </c>
      <c r="B131" s="108"/>
      <c r="C131" s="128"/>
      <c r="D131" s="126"/>
      <c r="E131" s="126"/>
      <c r="F131" s="246">
        <f t="shared" si="32"/>
        <v>0</v>
      </c>
      <c r="G131" s="207"/>
      <c r="H131" s="209"/>
      <c r="I131" s="208">
        <f t="shared" si="33"/>
        <v>0</v>
      </c>
      <c r="J131" s="267"/>
      <c r="K131" s="7"/>
      <c r="L131" s="31">
        <f t="shared" si="34"/>
        <v>0</v>
      </c>
      <c r="M131" s="30"/>
      <c r="N131" s="7"/>
      <c r="O131" s="31">
        <f t="shared" si="35"/>
        <v>0</v>
      </c>
      <c r="P131" s="195"/>
      <c r="Q131" s="91">
        <f t="shared" si="21"/>
        <v>0</v>
      </c>
    </row>
    <row r="132" spans="1:17" ht="12.75">
      <c r="A132" s="44" t="s">
        <v>83</v>
      </c>
      <c r="B132" s="108">
        <v>98074</v>
      </c>
      <c r="C132" s="128"/>
      <c r="D132" s="126"/>
      <c r="E132" s="126"/>
      <c r="F132" s="246">
        <f t="shared" si="32"/>
        <v>0</v>
      </c>
      <c r="G132" s="207">
        <v>15</v>
      </c>
      <c r="H132" s="209"/>
      <c r="I132" s="208">
        <f t="shared" si="33"/>
        <v>15</v>
      </c>
      <c r="J132" s="267"/>
      <c r="K132" s="7"/>
      <c r="L132" s="31">
        <f t="shared" si="34"/>
        <v>15</v>
      </c>
      <c r="M132" s="30"/>
      <c r="N132" s="7"/>
      <c r="O132" s="31">
        <f t="shared" si="35"/>
        <v>15</v>
      </c>
      <c r="P132" s="195"/>
      <c r="Q132" s="91">
        <f t="shared" si="21"/>
        <v>15</v>
      </c>
    </row>
    <row r="133" spans="1:17" ht="12.75" hidden="1">
      <c r="A133" s="44" t="s">
        <v>84</v>
      </c>
      <c r="B133" s="108"/>
      <c r="C133" s="128"/>
      <c r="D133" s="126"/>
      <c r="E133" s="126"/>
      <c r="F133" s="246">
        <f t="shared" si="32"/>
        <v>0</v>
      </c>
      <c r="G133" s="207"/>
      <c r="H133" s="209"/>
      <c r="I133" s="208">
        <f t="shared" si="33"/>
        <v>0</v>
      </c>
      <c r="J133" s="267"/>
      <c r="K133" s="7"/>
      <c r="L133" s="31">
        <f t="shared" si="34"/>
        <v>0</v>
      </c>
      <c r="M133" s="30"/>
      <c r="N133" s="7"/>
      <c r="O133" s="31">
        <f t="shared" si="35"/>
        <v>0</v>
      </c>
      <c r="P133" s="195"/>
      <c r="Q133" s="91">
        <f t="shared" si="21"/>
        <v>0</v>
      </c>
    </row>
    <row r="134" spans="1:17" ht="12.75">
      <c r="A134" s="44" t="s">
        <v>361</v>
      </c>
      <c r="B134" s="108">
        <v>98348</v>
      </c>
      <c r="C134" s="128"/>
      <c r="D134" s="126"/>
      <c r="E134" s="126"/>
      <c r="F134" s="246">
        <f t="shared" si="32"/>
        <v>0</v>
      </c>
      <c r="G134" s="207">
        <v>100</v>
      </c>
      <c r="H134" s="209"/>
      <c r="I134" s="208">
        <f t="shared" si="33"/>
        <v>100</v>
      </c>
      <c r="J134" s="267"/>
      <c r="K134" s="7"/>
      <c r="L134" s="31"/>
      <c r="M134" s="30"/>
      <c r="N134" s="7"/>
      <c r="O134" s="31"/>
      <c r="P134" s="195"/>
      <c r="Q134" s="91"/>
    </row>
    <row r="135" spans="1:17" ht="12.75" hidden="1">
      <c r="A135" s="44" t="s">
        <v>85</v>
      </c>
      <c r="B135" s="108">
        <v>4001</v>
      </c>
      <c r="C135" s="128"/>
      <c r="D135" s="126"/>
      <c r="E135" s="126"/>
      <c r="F135" s="246">
        <f t="shared" si="32"/>
        <v>0</v>
      </c>
      <c r="G135" s="207"/>
      <c r="H135" s="209"/>
      <c r="I135" s="208">
        <f t="shared" si="33"/>
        <v>0</v>
      </c>
      <c r="J135" s="267"/>
      <c r="K135" s="7"/>
      <c r="L135" s="31">
        <f t="shared" si="34"/>
        <v>0</v>
      </c>
      <c r="M135" s="30"/>
      <c r="N135" s="7"/>
      <c r="O135" s="31">
        <f t="shared" si="35"/>
        <v>0</v>
      </c>
      <c r="P135" s="195"/>
      <c r="Q135" s="91">
        <f t="shared" si="21"/>
        <v>0</v>
      </c>
    </row>
    <row r="136" spans="1:17" ht="12.75">
      <c r="A136" s="50" t="s">
        <v>75</v>
      </c>
      <c r="B136" s="112"/>
      <c r="C136" s="135">
        <f>C139+C138</f>
        <v>0</v>
      </c>
      <c r="D136" s="136">
        <f>D139+D138</f>
        <v>1120</v>
      </c>
      <c r="E136" s="136">
        <f>E139+E138</f>
        <v>0</v>
      </c>
      <c r="F136" s="190">
        <f>F139+F138</f>
        <v>1120</v>
      </c>
      <c r="G136" s="214">
        <f aca="true" t="shared" si="36" ref="G136:Q136">G139+G138</f>
        <v>0</v>
      </c>
      <c r="H136" s="215">
        <f t="shared" si="36"/>
        <v>0</v>
      </c>
      <c r="I136" s="216">
        <f t="shared" si="36"/>
        <v>1120</v>
      </c>
      <c r="J136" s="274">
        <f t="shared" si="36"/>
        <v>0</v>
      </c>
      <c r="K136" s="137">
        <f t="shared" si="36"/>
        <v>0</v>
      </c>
      <c r="L136" s="137">
        <f t="shared" si="36"/>
        <v>1120</v>
      </c>
      <c r="M136" s="137">
        <f t="shared" si="36"/>
        <v>0</v>
      </c>
      <c r="N136" s="137">
        <f t="shared" si="36"/>
        <v>0</v>
      </c>
      <c r="O136" s="137">
        <f t="shared" si="36"/>
        <v>1120</v>
      </c>
      <c r="P136" s="137">
        <f t="shared" si="36"/>
        <v>0</v>
      </c>
      <c r="Q136" s="137">
        <f t="shared" si="36"/>
        <v>1120</v>
      </c>
    </row>
    <row r="137" spans="1:17" ht="12.75">
      <c r="A137" s="46" t="s">
        <v>38</v>
      </c>
      <c r="B137" s="108"/>
      <c r="C137" s="128"/>
      <c r="D137" s="126"/>
      <c r="E137" s="126"/>
      <c r="F137" s="245"/>
      <c r="G137" s="207"/>
      <c r="H137" s="209"/>
      <c r="I137" s="206"/>
      <c r="J137" s="267"/>
      <c r="K137" s="7"/>
      <c r="L137" s="29"/>
      <c r="M137" s="30"/>
      <c r="N137" s="7"/>
      <c r="O137" s="29"/>
      <c r="P137" s="195"/>
      <c r="Q137" s="91"/>
    </row>
    <row r="138" spans="1:17" ht="12.75">
      <c r="A138" s="52" t="s">
        <v>76</v>
      </c>
      <c r="B138" s="111"/>
      <c r="C138" s="138"/>
      <c r="D138" s="139">
        <f>1120</f>
        <v>1120</v>
      </c>
      <c r="E138" s="139"/>
      <c r="F138" s="250">
        <f>C138+D138+E138</f>
        <v>1120</v>
      </c>
      <c r="G138" s="218"/>
      <c r="H138" s="219"/>
      <c r="I138" s="220">
        <f>F138+G138+H138</f>
        <v>1120</v>
      </c>
      <c r="J138" s="267"/>
      <c r="K138" s="7"/>
      <c r="L138" s="31">
        <f>I138+J138+K138</f>
        <v>1120</v>
      </c>
      <c r="M138" s="30"/>
      <c r="N138" s="7"/>
      <c r="O138" s="31">
        <f>L138+M138+N138</f>
        <v>1120</v>
      </c>
      <c r="P138" s="195"/>
      <c r="Q138" s="91">
        <f t="shared" si="21"/>
        <v>1120</v>
      </c>
    </row>
    <row r="139" spans="1:17" ht="12.75" hidden="1">
      <c r="A139" s="47" t="s">
        <v>104</v>
      </c>
      <c r="B139" s="111"/>
      <c r="C139" s="138"/>
      <c r="D139" s="139"/>
      <c r="E139" s="139"/>
      <c r="F139" s="250">
        <f>C139+D139+E139</f>
        <v>0</v>
      </c>
      <c r="G139" s="218"/>
      <c r="H139" s="219"/>
      <c r="I139" s="220">
        <f>F139+G139+H139</f>
        <v>0</v>
      </c>
      <c r="J139" s="12"/>
      <c r="K139" s="10"/>
      <c r="L139" s="35">
        <f>I139+J139+K139</f>
        <v>0</v>
      </c>
      <c r="M139" s="34"/>
      <c r="N139" s="10"/>
      <c r="O139" s="35">
        <f>L139+M139+N139</f>
        <v>0</v>
      </c>
      <c r="P139" s="200"/>
      <c r="Q139" s="93">
        <f t="shared" si="21"/>
        <v>0</v>
      </c>
    </row>
    <row r="140" spans="1:17" ht="12.75">
      <c r="A140" s="41" t="s">
        <v>86</v>
      </c>
      <c r="B140" s="112"/>
      <c r="C140" s="123">
        <f>C141+C149</f>
        <v>68545.7</v>
      </c>
      <c r="D140" s="124">
        <f>D141+D149</f>
        <v>16448.85</v>
      </c>
      <c r="E140" s="124">
        <f>E141+E149</f>
        <v>0</v>
      </c>
      <c r="F140" s="245">
        <f>F141+F149</f>
        <v>84994.55</v>
      </c>
      <c r="G140" s="204">
        <f aca="true" t="shared" si="37" ref="G140:Q140">G141+G149</f>
        <v>8441.810000000001</v>
      </c>
      <c r="H140" s="205">
        <f t="shared" si="37"/>
        <v>0</v>
      </c>
      <c r="I140" s="206">
        <f t="shared" si="37"/>
        <v>93436.36</v>
      </c>
      <c r="J140" s="268">
        <f t="shared" si="37"/>
        <v>0</v>
      </c>
      <c r="K140" s="125">
        <f t="shared" si="37"/>
        <v>0</v>
      </c>
      <c r="L140" s="125">
        <f t="shared" si="37"/>
        <v>83436.36</v>
      </c>
      <c r="M140" s="125">
        <f t="shared" si="37"/>
        <v>0</v>
      </c>
      <c r="N140" s="125">
        <f t="shared" si="37"/>
        <v>0</v>
      </c>
      <c r="O140" s="125">
        <f t="shared" si="37"/>
        <v>83436.36</v>
      </c>
      <c r="P140" s="125">
        <f t="shared" si="37"/>
        <v>0</v>
      </c>
      <c r="Q140" s="125">
        <f t="shared" si="37"/>
        <v>83436.36</v>
      </c>
    </row>
    <row r="141" spans="1:17" ht="12.75">
      <c r="A141" s="50" t="s">
        <v>69</v>
      </c>
      <c r="B141" s="112"/>
      <c r="C141" s="135">
        <f>SUM(C143:C147)</f>
        <v>23545.7</v>
      </c>
      <c r="D141" s="136">
        <f>SUM(D143:D147)</f>
        <v>1448.85</v>
      </c>
      <c r="E141" s="136">
        <f>SUM(E143:E147)</f>
        <v>0</v>
      </c>
      <c r="F141" s="190">
        <f>SUM(F143:F147)</f>
        <v>24994.55</v>
      </c>
      <c r="G141" s="214">
        <f aca="true" t="shared" si="38" ref="G141:Q141">SUM(G143:G147)</f>
        <v>3578.09</v>
      </c>
      <c r="H141" s="215">
        <f t="shared" si="38"/>
        <v>0</v>
      </c>
      <c r="I141" s="216">
        <f t="shared" si="38"/>
        <v>28572.64</v>
      </c>
      <c r="J141" s="274">
        <f t="shared" si="38"/>
        <v>0</v>
      </c>
      <c r="K141" s="137">
        <f t="shared" si="38"/>
        <v>0</v>
      </c>
      <c r="L141" s="137">
        <f t="shared" si="38"/>
        <v>28572.64</v>
      </c>
      <c r="M141" s="137">
        <f t="shared" si="38"/>
        <v>0</v>
      </c>
      <c r="N141" s="137">
        <f t="shared" si="38"/>
        <v>0</v>
      </c>
      <c r="O141" s="137">
        <f t="shared" si="38"/>
        <v>28572.64</v>
      </c>
      <c r="P141" s="137">
        <f t="shared" si="38"/>
        <v>0</v>
      </c>
      <c r="Q141" s="137">
        <f t="shared" si="38"/>
        <v>28572.64</v>
      </c>
    </row>
    <row r="142" spans="1:17" ht="12.75">
      <c r="A142" s="46" t="s">
        <v>38</v>
      </c>
      <c r="B142" s="108"/>
      <c r="C142" s="128"/>
      <c r="D142" s="126"/>
      <c r="E142" s="126"/>
      <c r="F142" s="245"/>
      <c r="G142" s="207"/>
      <c r="H142" s="209"/>
      <c r="I142" s="206"/>
      <c r="J142" s="267"/>
      <c r="K142" s="7"/>
      <c r="L142" s="29"/>
      <c r="M142" s="30"/>
      <c r="N142" s="7"/>
      <c r="O142" s="29"/>
      <c r="P142" s="195"/>
      <c r="Q142" s="91"/>
    </row>
    <row r="143" spans="1:17" ht="12.75">
      <c r="A143" s="44" t="s">
        <v>72</v>
      </c>
      <c r="B143" s="108"/>
      <c r="C143" s="128">
        <v>23545.7</v>
      </c>
      <c r="D143" s="126">
        <v>180</v>
      </c>
      <c r="E143" s="126"/>
      <c r="F143" s="246">
        <f aca="true" t="shared" si="39" ref="F143:F148">C143+D143+E143</f>
        <v>23725.7</v>
      </c>
      <c r="G143" s="207"/>
      <c r="H143" s="209"/>
      <c r="I143" s="208">
        <f aca="true" t="shared" si="40" ref="I143:I148">F143+G143+H143</f>
        <v>23725.7</v>
      </c>
      <c r="J143" s="267"/>
      <c r="K143" s="7"/>
      <c r="L143" s="31">
        <f aca="true" t="shared" si="41" ref="L143:L148">I143+J143+K143</f>
        <v>23725.7</v>
      </c>
      <c r="M143" s="30"/>
      <c r="N143" s="7"/>
      <c r="O143" s="31">
        <f aca="true" t="shared" si="42" ref="O143:O148">L143+M143+N143</f>
        <v>23725.7</v>
      </c>
      <c r="P143" s="195"/>
      <c r="Q143" s="91">
        <f t="shared" si="21"/>
        <v>23725.7</v>
      </c>
    </row>
    <row r="144" spans="1:17" ht="12.75">
      <c r="A144" s="44" t="s">
        <v>88</v>
      </c>
      <c r="B144" s="108"/>
      <c r="C144" s="128"/>
      <c r="D144" s="126"/>
      <c r="E144" s="126"/>
      <c r="F144" s="246">
        <f t="shared" si="39"/>
        <v>0</v>
      </c>
      <c r="G144" s="207">
        <v>2000</v>
      </c>
      <c r="H144" s="209"/>
      <c r="I144" s="208">
        <f t="shared" si="40"/>
        <v>2000</v>
      </c>
      <c r="J144" s="267"/>
      <c r="K144" s="7"/>
      <c r="L144" s="31">
        <f t="shared" si="41"/>
        <v>2000</v>
      </c>
      <c r="M144" s="30"/>
      <c r="N144" s="7"/>
      <c r="O144" s="31">
        <f t="shared" si="42"/>
        <v>2000</v>
      </c>
      <c r="P144" s="195"/>
      <c r="Q144" s="91">
        <f t="shared" si="21"/>
        <v>2000</v>
      </c>
    </row>
    <row r="145" spans="1:17" ht="12.75">
      <c r="A145" s="44" t="s">
        <v>89</v>
      </c>
      <c r="B145" s="108">
        <v>98278</v>
      </c>
      <c r="C145" s="128"/>
      <c r="D145" s="126">
        <f>21.57</f>
        <v>21.57</v>
      </c>
      <c r="E145" s="126"/>
      <c r="F145" s="246">
        <f t="shared" si="39"/>
        <v>21.57</v>
      </c>
      <c r="G145" s="207"/>
      <c r="H145" s="209"/>
      <c r="I145" s="208">
        <f t="shared" si="40"/>
        <v>21.57</v>
      </c>
      <c r="J145" s="267"/>
      <c r="K145" s="7"/>
      <c r="L145" s="31">
        <f t="shared" si="41"/>
        <v>21.57</v>
      </c>
      <c r="M145" s="30"/>
      <c r="N145" s="7"/>
      <c r="O145" s="31">
        <f t="shared" si="42"/>
        <v>21.57</v>
      </c>
      <c r="P145" s="195"/>
      <c r="Q145" s="91">
        <f t="shared" si="21"/>
        <v>21.57</v>
      </c>
    </row>
    <row r="146" spans="1:17" ht="12.75">
      <c r="A146" s="44" t="s">
        <v>103</v>
      </c>
      <c r="B146" s="108"/>
      <c r="C146" s="128"/>
      <c r="D146" s="126">
        <v>1247.28</v>
      </c>
      <c r="E146" s="126"/>
      <c r="F146" s="246">
        <f t="shared" si="39"/>
        <v>1247.28</v>
      </c>
      <c r="G146" s="207">
        <f>1441.81</f>
        <v>1441.81</v>
      </c>
      <c r="H146" s="209"/>
      <c r="I146" s="208">
        <f t="shared" si="40"/>
        <v>2689.09</v>
      </c>
      <c r="J146" s="267"/>
      <c r="K146" s="7"/>
      <c r="L146" s="31">
        <f t="shared" si="41"/>
        <v>2689.09</v>
      </c>
      <c r="M146" s="30"/>
      <c r="N146" s="7"/>
      <c r="O146" s="31">
        <f t="shared" si="42"/>
        <v>2689.09</v>
      </c>
      <c r="P146" s="195"/>
      <c r="Q146" s="91">
        <f aca="true" t="shared" si="43" ref="Q146:Q211">O146+P146</f>
        <v>2689.09</v>
      </c>
    </row>
    <row r="147" spans="1:17" ht="12.75">
      <c r="A147" s="43" t="s">
        <v>90</v>
      </c>
      <c r="B147" s="108"/>
      <c r="C147" s="128"/>
      <c r="D147" s="126"/>
      <c r="E147" s="126"/>
      <c r="F147" s="246">
        <f t="shared" si="39"/>
        <v>0</v>
      </c>
      <c r="G147" s="207">
        <f>136.28</f>
        <v>136.28</v>
      </c>
      <c r="H147" s="209"/>
      <c r="I147" s="208">
        <f t="shared" si="40"/>
        <v>136.28</v>
      </c>
      <c r="J147" s="267"/>
      <c r="K147" s="7"/>
      <c r="L147" s="31">
        <f t="shared" si="41"/>
        <v>136.28</v>
      </c>
      <c r="M147" s="30"/>
      <c r="N147" s="7"/>
      <c r="O147" s="31">
        <f t="shared" si="42"/>
        <v>136.28</v>
      </c>
      <c r="P147" s="195"/>
      <c r="Q147" s="91">
        <f t="shared" si="43"/>
        <v>136.28</v>
      </c>
    </row>
    <row r="148" spans="1:17" ht="12.75">
      <c r="A148" s="43" t="s">
        <v>91</v>
      </c>
      <c r="B148" s="108"/>
      <c r="C148" s="128"/>
      <c r="D148" s="126"/>
      <c r="E148" s="126"/>
      <c r="F148" s="246">
        <f t="shared" si="39"/>
        <v>0</v>
      </c>
      <c r="G148" s="207">
        <v>136.28</v>
      </c>
      <c r="H148" s="209"/>
      <c r="I148" s="208">
        <f t="shared" si="40"/>
        <v>136.28</v>
      </c>
      <c r="J148" s="267"/>
      <c r="K148" s="7"/>
      <c r="L148" s="31">
        <f t="shared" si="41"/>
        <v>136.28</v>
      </c>
      <c r="M148" s="30"/>
      <c r="N148" s="7"/>
      <c r="O148" s="31">
        <f t="shared" si="42"/>
        <v>136.28</v>
      </c>
      <c r="P148" s="195"/>
      <c r="Q148" s="91">
        <f t="shared" si="43"/>
        <v>136.28</v>
      </c>
    </row>
    <row r="149" spans="1:17" ht="12.75">
      <c r="A149" s="51" t="s">
        <v>75</v>
      </c>
      <c r="B149" s="112"/>
      <c r="C149" s="140">
        <f>SUM(C151:C154)</f>
        <v>45000</v>
      </c>
      <c r="D149" s="141">
        <f>SUM(D151:D154)</f>
        <v>15000</v>
      </c>
      <c r="E149" s="141">
        <f>SUM(E151:E154)</f>
        <v>0</v>
      </c>
      <c r="F149" s="249">
        <f>SUM(F151:F154)</f>
        <v>60000</v>
      </c>
      <c r="G149" s="287">
        <f aca="true" t="shared" si="44" ref="G149:Q149">SUM(G151:G154)</f>
        <v>4863.72</v>
      </c>
      <c r="H149" s="288">
        <f t="shared" si="44"/>
        <v>0</v>
      </c>
      <c r="I149" s="217">
        <f t="shared" si="44"/>
        <v>64863.72</v>
      </c>
      <c r="J149" s="273">
        <f t="shared" si="44"/>
        <v>0</v>
      </c>
      <c r="K149" s="142">
        <f t="shared" si="44"/>
        <v>0</v>
      </c>
      <c r="L149" s="142">
        <f t="shared" si="44"/>
        <v>54863.72</v>
      </c>
      <c r="M149" s="142">
        <f t="shared" si="44"/>
        <v>0</v>
      </c>
      <c r="N149" s="142">
        <f t="shared" si="44"/>
        <v>0</v>
      </c>
      <c r="O149" s="142">
        <f t="shared" si="44"/>
        <v>54863.72</v>
      </c>
      <c r="P149" s="142">
        <f t="shared" si="44"/>
        <v>0</v>
      </c>
      <c r="Q149" s="142">
        <f t="shared" si="44"/>
        <v>54863.72</v>
      </c>
    </row>
    <row r="150" spans="1:17" ht="12.75">
      <c r="A150" s="42" t="s">
        <v>38</v>
      </c>
      <c r="B150" s="108"/>
      <c r="C150" s="129"/>
      <c r="D150" s="130"/>
      <c r="E150" s="130"/>
      <c r="F150" s="247"/>
      <c r="G150" s="211"/>
      <c r="H150" s="212"/>
      <c r="I150" s="210"/>
      <c r="J150" s="13"/>
      <c r="K150" s="8"/>
      <c r="L150" s="33"/>
      <c r="M150" s="32"/>
      <c r="N150" s="8"/>
      <c r="O150" s="33"/>
      <c r="P150" s="195"/>
      <c r="Q150" s="91"/>
    </row>
    <row r="151" spans="1:17" ht="12.75">
      <c r="A151" s="43" t="s">
        <v>92</v>
      </c>
      <c r="B151" s="108"/>
      <c r="C151" s="128"/>
      <c r="D151" s="126">
        <v>5000</v>
      </c>
      <c r="E151" s="126"/>
      <c r="F151" s="246">
        <f>C151+D151+E151</f>
        <v>5000</v>
      </c>
      <c r="G151" s="207">
        <v>5000</v>
      </c>
      <c r="H151" s="209"/>
      <c r="I151" s="208">
        <f>F151+G151+H151</f>
        <v>10000</v>
      </c>
      <c r="J151" s="267"/>
      <c r="K151" s="7"/>
      <c r="L151" s="31">
        <f>I151+J151+K151</f>
        <v>10000</v>
      </c>
      <c r="M151" s="30"/>
      <c r="N151" s="7"/>
      <c r="O151" s="31">
        <f>L151+M151+N151</f>
        <v>10000</v>
      </c>
      <c r="P151" s="195"/>
      <c r="Q151" s="91">
        <f t="shared" si="43"/>
        <v>10000</v>
      </c>
    </row>
    <row r="152" spans="1:17" ht="12.75">
      <c r="A152" s="43" t="s">
        <v>76</v>
      </c>
      <c r="B152" s="108"/>
      <c r="C152" s="128"/>
      <c r="D152" s="126">
        <v>10000</v>
      </c>
      <c r="E152" s="126"/>
      <c r="F152" s="246">
        <f>C152+D152+E152</f>
        <v>10000</v>
      </c>
      <c r="G152" s="207"/>
      <c r="H152" s="209"/>
      <c r="I152" s="208">
        <f>F152+G152+H152</f>
        <v>10000</v>
      </c>
      <c r="J152" s="267"/>
      <c r="K152" s="7"/>
      <c r="L152" s="31"/>
      <c r="M152" s="30"/>
      <c r="N152" s="7"/>
      <c r="O152" s="31"/>
      <c r="P152" s="195"/>
      <c r="Q152" s="91"/>
    </row>
    <row r="153" spans="1:17" ht="12.75" hidden="1">
      <c r="A153" s="44" t="s">
        <v>103</v>
      </c>
      <c r="B153" s="108"/>
      <c r="C153" s="128"/>
      <c r="D153" s="126"/>
      <c r="E153" s="126"/>
      <c r="F153" s="246">
        <f>C153+D153+E153</f>
        <v>0</v>
      </c>
      <c r="G153" s="289"/>
      <c r="H153" s="209"/>
      <c r="I153" s="208">
        <f>F153+G153+H153</f>
        <v>0</v>
      </c>
      <c r="J153" s="267"/>
      <c r="K153" s="7"/>
      <c r="L153" s="31">
        <f>I153+J153+K153</f>
        <v>0</v>
      </c>
      <c r="M153" s="30"/>
      <c r="N153" s="7"/>
      <c r="O153" s="31">
        <f>L153+M153+N153</f>
        <v>0</v>
      </c>
      <c r="P153" s="195"/>
      <c r="Q153" s="91">
        <f t="shared" si="43"/>
        <v>0</v>
      </c>
    </row>
    <row r="154" spans="1:17" ht="12.75">
      <c r="A154" s="43" t="s">
        <v>90</v>
      </c>
      <c r="B154" s="108"/>
      <c r="C154" s="128">
        <v>45000</v>
      </c>
      <c r="D154" s="126"/>
      <c r="E154" s="126"/>
      <c r="F154" s="246">
        <f>C154+D154+E154</f>
        <v>45000</v>
      </c>
      <c r="G154" s="207">
        <v>-136.28</v>
      </c>
      <c r="H154" s="209"/>
      <c r="I154" s="208">
        <f>F154+G154+H154</f>
        <v>44863.72</v>
      </c>
      <c r="J154" s="267"/>
      <c r="K154" s="7"/>
      <c r="L154" s="31">
        <f>I154+J154+K154</f>
        <v>44863.72</v>
      </c>
      <c r="M154" s="30"/>
      <c r="N154" s="7"/>
      <c r="O154" s="31">
        <f>L154+M154+N154</f>
        <v>44863.72</v>
      </c>
      <c r="P154" s="195"/>
      <c r="Q154" s="91">
        <f t="shared" si="43"/>
        <v>44863.72</v>
      </c>
    </row>
    <row r="155" spans="1:17" ht="12.75">
      <c r="A155" s="52" t="s">
        <v>93</v>
      </c>
      <c r="B155" s="111"/>
      <c r="C155" s="138"/>
      <c r="D155" s="139"/>
      <c r="E155" s="139"/>
      <c r="F155" s="250">
        <f>C155+D155+E155</f>
        <v>0</v>
      </c>
      <c r="G155" s="218">
        <v>6832</v>
      </c>
      <c r="H155" s="219"/>
      <c r="I155" s="220">
        <f>F155+G155+H155</f>
        <v>6832</v>
      </c>
      <c r="J155" s="12"/>
      <c r="K155" s="10"/>
      <c r="L155" s="35">
        <f>I155+J155+K155</f>
        <v>6832</v>
      </c>
      <c r="M155" s="34"/>
      <c r="N155" s="10"/>
      <c r="O155" s="35">
        <f>L155+M155+N155</f>
        <v>6832</v>
      </c>
      <c r="P155" s="200"/>
      <c r="Q155" s="93">
        <f t="shared" si="43"/>
        <v>6832</v>
      </c>
    </row>
    <row r="156" spans="1:17" ht="12.75">
      <c r="A156" s="45" t="s">
        <v>94</v>
      </c>
      <c r="B156" s="112"/>
      <c r="C156" s="129">
        <f>C157+C162</f>
        <v>6305</v>
      </c>
      <c r="D156" s="130">
        <f>D157+D162</f>
        <v>1950.5</v>
      </c>
      <c r="E156" s="130">
        <f>E157+E162</f>
        <v>0</v>
      </c>
      <c r="F156" s="247">
        <f>F157+F162</f>
        <v>8255.5</v>
      </c>
      <c r="G156" s="211">
        <f aca="true" t="shared" si="45" ref="G156:Q156">G157+G162</f>
        <v>600</v>
      </c>
      <c r="H156" s="212">
        <f t="shared" si="45"/>
        <v>0</v>
      </c>
      <c r="I156" s="210">
        <f t="shared" si="45"/>
        <v>8855.5</v>
      </c>
      <c r="J156" s="270">
        <f t="shared" si="45"/>
        <v>0</v>
      </c>
      <c r="K156" s="131">
        <f t="shared" si="45"/>
        <v>0</v>
      </c>
      <c r="L156" s="131">
        <f t="shared" si="45"/>
        <v>8855.5</v>
      </c>
      <c r="M156" s="131">
        <f t="shared" si="45"/>
        <v>0</v>
      </c>
      <c r="N156" s="131">
        <f t="shared" si="45"/>
        <v>0</v>
      </c>
      <c r="O156" s="131">
        <f t="shared" si="45"/>
        <v>8855.5</v>
      </c>
      <c r="P156" s="131">
        <f t="shared" si="45"/>
        <v>0</v>
      </c>
      <c r="Q156" s="131">
        <f t="shared" si="45"/>
        <v>8855.5</v>
      </c>
    </row>
    <row r="157" spans="1:17" ht="12.75">
      <c r="A157" s="50" t="s">
        <v>69</v>
      </c>
      <c r="B157" s="112"/>
      <c r="C157" s="135">
        <f>SUM(C159:C161)</f>
        <v>6305</v>
      </c>
      <c r="D157" s="136">
        <f>SUM(D159:D161)</f>
        <v>1950.5</v>
      </c>
      <c r="E157" s="136">
        <f>SUM(E159:E161)</f>
        <v>0</v>
      </c>
      <c r="F157" s="190">
        <f>SUM(F159:F161)</f>
        <v>8255.5</v>
      </c>
      <c r="G157" s="214">
        <f aca="true" t="shared" si="46" ref="G157:Q157">SUM(G159:G161)</f>
        <v>600</v>
      </c>
      <c r="H157" s="215">
        <f t="shared" si="46"/>
        <v>0</v>
      </c>
      <c r="I157" s="216">
        <f t="shared" si="46"/>
        <v>8855.5</v>
      </c>
      <c r="J157" s="274">
        <f t="shared" si="46"/>
        <v>0</v>
      </c>
      <c r="K157" s="137">
        <f t="shared" si="46"/>
        <v>0</v>
      </c>
      <c r="L157" s="137">
        <f t="shared" si="46"/>
        <v>8855.5</v>
      </c>
      <c r="M157" s="137">
        <f t="shared" si="46"/>
        <v>0</v>
      </c>
      <c r="N157" s="137">
        <f t="shared" si="46"/>
        <v>0</v>
      </c>
      <c r="O157" s="137">
        <f t="shared" si="46"/>
        <v>8855.5</v>
      </c>
      <c r="P157" s="137">
        <f t="shared" si="46"/>
        <v>0</v>
      </c>
      <c r="Q157" s="137">
        <f t="shared" si="46"/>
        <v>8855.5</v>
      </c>
    </row>
    <row r="158" spans="1:17" ht="12.75">
      <c r="A158" s="46" t="s">
        <v>38</v>
      </c>
      <c r="B158" s="108"/>
      <c r="C158" s="128"/>
      <c r="D158" s="126"/>
      <c r="E158" s="126"/>
      <c r="F158" s="245"/>
      <c r="G158" s="207"/>
      <c r="H158" s="209"/>
      <c r="I158" s="206"/>
      <c r="J158" s="267"/>
      <c r="K158" s="7"/>
      <c r="L158" s="29"/>
      <c r="M158" s="30"/>
      <c r="N158" s="7"/>
      <c r="O158" s="29"/>
      <c r="P158" s="195"/>
      <c r="Q158" s="91"/>
    </row>
    <row r="159" spans="1:17" ht="12.75">
      <c r="A159" s="44" t="s">
        <v>72</v>
      </c>
      <c r="B159" s="108"/>
      <c r="C159" s="128">
        <v>6305</v>
      </c>
      <c r="D159" s="126">
        <v>427.5</v>
      </c>
      <c r="E159" s="126"/>
      <c r="F159" s="246">
        <f>SUM(C159:E159)</f>
        <v>6732.5</v>
      </c>
      <c r="G159" s="207">
        <v>600</v>
      </c>
      <c r="H159" s="209"/>
      <c r="I159" s="208">
        <f>SUM(F159:H159)</f>
        <v>7332.5</v>
      </c>
      <c r="J159" s="267"/>
      <c r="K159" s="7"/>
      <c r="L159" s="31">
        <f>I159+J159+K159</f>
        <v>7332.5</v>
      </c>
      <c r="M159" s="30"/>
      <c r="N159" s="7"/>
      <c r="O159" s="31">
        <f>L159+M159+N159</f>
        <v>7332.5</v>
      </c>
      <c r="P159" s="195"/>
      <c r="Q159" s="91">
        <f t="shared" si="43"/>
        <v>7332.5</v>
      </c>
    </row>
    <row r="160" spans="1:17" ht="12.75">
      <c r="A160" s="55" t="s">
        <v>95</v>
      </c>
      <c r="B160" s="111">
        <v>33166</v>
      </c>
      <c r="C160" s="138"/>
      <c r="D160" s="139">
        <f>1373+150</f>
        <v>1523</v>
      </c>
      <c r="E160" s="139"/>
      <c r="F160" s="250">
        <f>SUM(C160:E160)</f>
        <v>1523</v>
      </c>
      <c r="G160" s="218"/>
      <c r="H160" s="219"/>
      <c r="I160" s="220">
        <f>SUM(F160:H160)</f>
        <v>1523</v>
      </c>
      <c r="J160" s="267"/>
      <c r="K160" s="7"/>
      <c r="L160" s="31">
        <f>I160+J160+K160</f>
        <v>1523</v>
      </c>
      <c r="M160" s="30"/>
      <c r="N160" s="7"/>
      <c r="O160" s="31">
        <f>L160+M160+N160</f>
        <v>1523</v>
      </c>
      <c r="P160" s="195"/>
      <c r="Q160" s="91">
        <f t="shared" si="43"/>
        <v>1523</v>
      </c>
    </row>
    <row r="161" spans="1:17" ht="12.75" hidden="1">
      <c r="A161" s="48" t="s">
        <v>88</v>
      </c>
      <c r="B161" s="108"/>
      <c r="C161" s="128"/>
      <c r="D161" s="126"/>
      <c r="E161" s="126"/>
      <c r="F161" s="246">
        <f>SUM(C161:E161)</f>
        <v>0</v>
      </c>
      <c r="G161" s="207"/>
      <c r="H161" s="209"/>
      <c r="I161" s="208">
        <f>SUM(F161:H161)</f>
        <v>0</v>
      </c>
      <c r="J161" s="267"/>
      <c r="K161" s="7"/>
      <c r="L161" s="31">
        <f>I161+J161+K161</f>
        <v>0</v>
      </c>
      <c r="M161" s="30"/>
      <c r="N161" s="7"/>
      <c r="O161" s="31">
        <f>L161+M161+N161</f>
        <v>0</v>
      </c>
      <c r="P161" s="195"/>
      <c r="Q161" s="91">
        <f t="shared" si="43"/>
        <v>0</v>
      </c>
    </row>
    <row r="162" spans="1:17" ht="12.75" hidden="1">
      <c r="A162" s="50" t="s">
        <v>75</v>
      </c>
      <c r="B162" s="112"/>
      <c r="C162" s="135">
        <f>C164</f>
        <v>0</v>
      </c>
      <c r="D162" s="136">
        <f>D164</f>
        <v>0</v>
      </c>
      <c r="E162" s="136"/>
      <c r="F162" s="190">
        <f>F164</f>
        <v>0</v>
      </c>
      <c r="G162" s="214">
        <f aca="true" t="shared" si="47" ref="G162:Q162">G164</f>
        <v>0</v>
      </c>
      <c r="H162" s="215">
        <f t="shared" si="47"/>
        <v>0</v>
      </c>
      <c r="I162" s="216">
        <f t="shared" si="47"/>
        <v>0</v>
      </c>
      <c r="J162" s="274">
        <f t="shared" si="47"/>
        <v>0</v>
      </c>
      <c r="K162" s="137">
        <f t="shared" si="47"/>
        <v>0</v>
      </c>
      <c r="L162" s="137">
        <f t="shared" si="47"/>
        <v>0</v>
      </c>
      <c r="M162" s="137">
        <f t="shared" si="47"/>
        <v>0</v>
      </c>
      <c r="N162" s="137">
        <f t="shared" si="47"/>
        <v>0</v>
      </c>
      <c r="O162" s="137">
        <f t="shared" si="47"/>
        <v>0</v>
      </c>
      <c r="P162" s="137">
        <f t="shared" si="47"/>
        <v>0</v>
      </c>
      <c r="Q162" s="137">
        <f t="shared" si="47"/>
        <v>0</v>
      </c>
    </row>
    <row r="163" spans="1:17" ht="12.75" hidden="1">
      <c r="A163" s="46" t="s">
        <v>38</v>
      </c>
      <c r="B163" s="108"/>
      <c r="C163" s="128"/>
      <c r="D163" s="126"/>
      <c r="E163" s="126"/>
      <c r="F163" s="245"/>
      <c r="G163" s="207"/>
      <c r="H163" s="209"/>
      <c r="I163" s="206"/>
      <c r="J163" s="267"/>
      <c r="K163" s="7"/>
      <c r="L163" s="29"/>
      <c r="M163" s="30"/>
      <c r="N163" s="7"/>
      <c r="O163" s="29"/>
      <c r="P163" s="195"/>
      <c r="Q163" s="91"/>
    </row>
    <row r="164" spans="1:17" ht="12.75" hidden="1">
      <c r="A164" s="47" t="s">
        <v>237</v>
      </c>
      <c r="B164" s="111"/>
      <c r="C164" s="138"/>
      <c r="D164" s="139"/>
      <c r="E164" s="139"/>
      <c r="F164" s="250">
        <f>C164+D164+E164</f>
        <v>0</v>
      </c>
      <c r="G164" s="218"/>
      <c r="H164" s="219"/>
      <c r="I164" s="220">
        <f>SUM(F164:H164)</f>
        <v>0</v>
      </c>
      <c r="J164" s="12"/>
      <c r="K164" s="10"/>
      <c r="L164" s="35">
        <f>I164+J164+K164</f>
        <v>0</v>
      </c>
      <c r="M164" s="34"/>
      <c r="N164" s="10"/>
      <c r="O164" s="35">
        <f>L164+M164+N164</f>
        <v>0</v>
      </c>
      <c r="P164" s="200"/>
      <c r="Q164" s="93">
        <f t="shared" si="43"/>
        <v>0</v>
      </c>
    </row>
    <row r="165" spans="1:17" ht="12.75">
      <c r="A165" s="41" t="s">
        <v>96</v>
      </c>
      <c r="B165" s="112"/>
      <c r="C165" s="123">
        <f>C166+C180</f>
        <v>1103617.1</v>
      </c>
      <c r="D165" s="124">
        <f>D166+D180</f>
        <v>22244.2</v>
      </c>
      <c r="E165" s="124">
        <f>E166+E180</f>
        <v>0</v>
      </c>
      <c r="F165" s="245">
        <f>F166+F180</f>
        <v>1125861.2999999998</v>
      </c>
      <c r="G165" s="204">
        <f aca="true" t="shared" si="48" ref="G165:Q165">G166+G180</f>
        <v>310777.21</v>
      </c>
      <c r="H165" s="205">
        <f t="shared" si="48"/>
        <v>0</v>
      </c>
      <c r="I165" s="206">
        <f t="shared" si="48"/>
        <v>1436638.5099999998</v>
      </c>
      <c r="J165" s="268">
        <f t="shared" si="48"/>
        <v>0</v>
      </c>
      <c r="K165" s="125">
        <f t="shared" si="48"/>
        <v>0</v>
      </c>
      <c r="L165" s="125">
        <f t="shared" si="48"/>
        <v>1394373.5099999998</v>
      </c>
      <c r="M165" s="125">
        <f t="shared" si="48"/>
        <v>0</v>
      </c>
      <c r="N165" s="125">
        <f t="shared" si="48"/>
        <v>0</v>
      </c>
      <c r="O165" s="125">
        <f t="shared" si="48"/>
        <v>1394373.5099999998</v>
      </c>
      <c r="P165" s="125">
        <f t="shared" si="48"/>
        <v>0</v>
      </c>
      <c r="Q165" s="125">
        <f t="shared" si="48"/>
        <v>1394373.5099999998</v>
      </c>
    </row>
    <row r="166" spans="1:17" ht="12.75">
      <c r="A166" s="50" t="s">
        <v>69</v>
      </c>
      <c r="B166" s="112"/>
      <c r="C166" s="135">
        <f>SUM(C169:C179)</f>
        <v>1103617.1</v>
      </c>
      <c r="D166" s="136">
        <f>SUM(D169:D179)</f>
        <v>22244.2</v>
      </c>
      <c r="E166" s="136">
        <f>SUM(E169:E179)</f>
        <v>0</v>
      </c>
      <c r="F166" s="190">
        <f>SUM(F169:F179)</f>
        <v>1125861.2999999998</v>
      </c>
      <c r="G166" s="214">
        <f aca="true" t="shared" si="49" ref="G166:Q166">SUM(G169:G179)</f>
        <v>310777.21</v>
      </c>
      <c r="H166" s="215">
        <f t="shared" si="49"/>
        <v>0</v>
      </c>
      <c r="I166" s="216">
        <f t="shared" si="49"/>
        <v>1436638.5099999998</v>
      </c>
      <c r="J166" s="274">
        <f t="shared" si="49"/>
        <v>0</v>
      </c>
      <c r="K166" s="137">
        <f t="shared" si="49"/>
        <v>0</v>
      </c>
      <c r="L166" s="137">
        <f t="shared" si="49"/>
        <v>1394373.5099999998</v>
      </c>
      <c r="M166" s="137">
        <f t="shared" si="49"/>
        <v>0</v>
      </c>
      <c r="N166" s="137">
        <f t="shared" si="49"/>
        <v>0</v>
      </c>
      <c r="O166" s="137">
        <f t="shared" si="49"/>
        <v>1394373.5099999998</v>
      </c>
      <c r="P166" s="137">
        <f t="shared" si="49"/>
        <v>0</v>
      </c>
      <c r="Q166" s="137">
        <f t="shared" si="49"/>
        <v>1394373.5099999998</v>
      </c>
    </row>
    <row r="167" spans="1:17" ht="12.75">
      <c r="A167" s="46" t="s">
        <v>38</v>
      </c>
      <c r="B167" s="108"/>
      <c r="C167" s="128"/>
      <c r="D167" s="126"/>
      <c r="E167" s="126"/>
      <c r="F167" s="245"/>
      <c r="G167" s="207"/>
      <c r="H167" s="209"/>
      <c r="I167" s="206"/>
      <c r="J167" s="267"/>
      <c r="K167" s="7"/>
      <c r="L167" s="29"/>
      <c r="M167" s="30"/>
      <c r="N167" s="7"/>
      <c r="O167" s="29"/>
      <c r="P167" s="195"/>
      <c r="Q167" s="91"/>
    </row>
    <row r="168" spans="1:17" ht="12.75">
      <c r="A168" s="48" t="s">
        <v>97</v>
      </c>
      <c r="B168" s="108"/>
      <c r="C168" s="128">
        <f>C169+C170</f>
        <v>664115</v>
      </c>
      <c r="D168" s="126">
        <f>D169+D170</f>
        <v>12744.2</v>
      </c>
      <c r="E168" s="126">
        <f>E169+E170</f>
        <v>0</v>
      </c>
      <c r="F168" s="246">
        <f>F169+F170</f>
        <v>676859.2</v>
      </c>
      <c r="G168" s="207"/>
      <c r="H168" s="209"/>
      <c r="I168" s="208">
        <f>I169+I170</f>
        <v>674735.2</v>
      </c>
      <c r="J168" s="267"/>
      <c r="K168" s="7"/>
      <c r="L168" s="31">
        <f>L169+L170</f>
        <v>674735.2</v>
      </c>
      <c r="M168" s="30"/>
      <c r="N168" s="7"/>
      <c r="O168" s="31">
        <f>O169+O170</f>
        <v>674735.2</v>
      </c>
      <c r="P168" s="195"/>
      <c r="Q168" s="91">
        <f t="shared" si="43"/>
        <v>674735.2</v>
      </c>
    </row>
    <row r="169" spans="1:17" ht="12.75">
      <c r="A169" s="48" t="s">
        <v>98</v>
      </c>
      <c r="B169" s="108"/>
      <c r="C169" s="128">
        <v>294442</v>
      </c>
      <c r="D169" s="126">
        <v>7</v>
      </c>
      <c r="E169" s="126"/>
      <c r="F169" s="246">
        <f aca="true" t="shared" si="50" ref="F169:F179">C169+D169+E169</f>
        <v>294449</v>
      </c>
      <c r="G169" s="221">
        <v>2376</v>
      </c>
      <c r="H169" s="222"/>
      <c r="I169" s="208">
        <f aca="true" t="shared" si="51" ref="I169:I179">F169+G169+H169</f>
        <v>296825</v>
      </c>
      <c r="J169" s="267"/>
      <c r="K169" s="7"/>
      <c r="L169" s="31">
        <f aca="true" t="shared" si="52" ref="L169:L179">I169+J169+K169</f>
        <v>296825</v>
      </c>
      <c r="M169" s="30"/>
      <c r="N169" s="7"/>
      <c r="O169" s="31">
        <f aca="true" t="shared" si="53" ref="O169:O179">L169+M169+N169</f>
        <v>296825</v>
      </c>
      <c r="P169" s="195"/>
      <c r="Q169" s="91">
        <f t="shared" si="43"/>
        <v>296825</v>
      </c>
    </row>
    <row r="170" spans="1:17" ht="12.75">
      <c r="A170" s="44" t="s">
        <v>99</v>
      </c>
      <c r="B170" s="108"/>
      <c r="C170" s="128">
        <v>369673</v>
      </c>
      <c r="D170" s="126">
        <f>9000+3737.2</f>
        <v>12737.2</v>
      </c>
      <c r="E170" s="126"/>
      <c r="F170" s="246">
        <f t="shared" si="50"/>
        <v>382410.2</v>
      </c>
      <c r="G170" s="221">
        <f>-500-4000</f>
        <v>-4500</v>
      </c>
      <c r="H170" s="222"/>
      <c r="I170" s="208">
        <f t="shared" si="51"/>
        <v>377910.2</v>
      </c>
      <c r="J170" s="267"/>
      <c r="K170" s="7"/>
      <c r="L170" s="31">
        <f t="shared" si="52"/>
        <v>377910.2</v>
      </c>
      <c r="M170" s="30"/>
      <c r="N170" s="7"/>
      <c r="O170" s="31">
        <f t="shared" si="53"/>
        <v>377910.2</v>
      </c>
      <c r="P170" s="195"/>
      <c r="Q170" s="91">
        <f t="shared" si="43"/>
        <v>377910.2</v>
      </c>
    </row>
    <row r="171" spans="1:17" ht="12.75">
      <c r="A171" s="48" t="s">
        <v>100</v>
      </c>
      <c r="B171" s="108"/>
      <c r="C171" s="128">
        <v>20998</v>
      </c>
      <c r="D171" s="126"/>
      <c r="E171" s="126"/>
      <c r="F171" s="246">
        <f t="shared" si="50"/>
        <v>20998</v>
      </c>
      <c r="G171" s="207"/>
      <c r="H171" s="209"/>
      <c r="I171" s="208">
        <f t="shared" si="51"/>
        <v>20998</v>
      </c>
      <c r="J171" s="94"/>
      <c r="K171" s="11"/>
      <c r="L171" s="31">
        <f t="shared" si="52"/>
        <v>20998</v>
      </c>
      <c r="M171" s="30"/>
      <c r="N171" s="7"/>
      <c r="O171" s="31">
        <f t="shared" si="53"/>
        <v>20998</v>
      </c>
      <c r="P171" s="195"/>
      <c r="Q171" s="91">
        <f t="shared" si="43"/>
        <v>20998</v>
      </c>
    </row>
    <row r="172" spans="1:17" ht="12.75">
      <c r="A172" s="44" t="s">
        <v>101</v>
      </c>
      <c r="B172" s="108"/>
      <c r="C172" s="128"/>
      <c r="D172" s="126"/>
      <c r="E172" s="126"/>
      <c r="F172" s="246">
        <f t="shared" si="50"/>
        <v>0</v>
      </c>
      <c r="G172" s="207">
        <v>500</v>
      </c>
      <c r="H172" s="209"/>
      <c r="I172" s="208">
        <f t="shared" si="51"/>
        <v>500</v>
      </c>
      <c r="J172" s="267"/>
      <c r="K172" s="7"/>
      <c r="L172" s="31">
        <f t="shared" si="52"/>
        <v>500</v>
      </c>
      <c r="M172" s="30"/>
      <c r="N172" s="7"/>
      <c r="O172" s="31">
        <f t="shared" si="53"/>
        <v>500</v>
      </c>
      <c r="P172" s="195"/>
      <c r="Q172" s="91">
        <f t="shared" si="43"/>
        <v>500</v>
      </c>
    </row>
    <row r="173" spans="1:17" ht="12.75" hidden="1">
      <c r="A173" s="44" t="s">
        <v>88</v>
      </c>
      <c r="B173" s="108"/>
      <c r="C173" s="128"/>
      <c r="D173" s="126"/>
      <c r="E173" s="126"/>
      <c r="F173" s="246">
        <f t="shared" si="50"/>
        <v>0</v>
      </c>
      <c r="G173" s="207"/>
      <c r="H173" s="209"/>
      <c r="I173" s="208">
        <f t="shared" si="51"/>
        <v>0</v>
      </c>
      <c r="J173" s="267"/>
      <c r="K173" s="7"/>
      <c r="L173" s="31">
        <f t="shared" si="52"/>
        <v>0</v>
      </c>
      <c r="M173" s="30"/>
      <c r="N173" s="7"/>
      <c r="O173" s="31">
        <f t="shared" si="53"/>
        <v>0</v>
      </c>
      <c r="P173" s="195"/>
      <c r="Q173" s="91">
        <f t="shared" si="43"/>
        <v>0</v>
      </c>
    </row>
    <row r="174" spans="1:17" ht="12.75" hidden="1">
      <c r="A174" s="44" t="s">
        <v>220</v>
      </c>
      <c r="B174" s="108"/>
      <c r="C174" s="128"/>
      <c r="D174" s="126"/>
      <c r="E174" s="126"/>
      <c r="F174" s="246">
        <f t="shared" si="50"/>
        <v>0</v>
      </c>
      <c r="G174" s="207"/>
      <c r="H174" s="209"/>
      <c r="I174" s="208">
        <f t="shared" si="51"/>
        <v>0</v>
      </c>
      <c r="J174" s="267"/>
      <c r="K174" s="7"/>
      <c r="L174" s="31">
        <f>I174+J174+K174</f>
        <v>0</v>
      </c>
      <c r="M174" s="30"/>
      <c r="N174" s="7"/>
      <c r="O174" s="31">
        <f t="shared" si="53"/>
        <v>0</v>
      </c>
      <c r="P174" s="195"/>
      <c r="Q174" s="91">
        <f t="shared" si="43"/>
        <v>0</v>
      </c>
    </row>
    <row r="175" spans="1:17" ht="12.75">
      <c r="A175" s="44" t="s">
        <v>102</v>
      </c>
      <c r="B175" s="108">
        <v>91252</v>
      </c>
      <c r="C175" s="128"/>
      <c r="D175" s="126"/>
      <c r="E175" s="126"/>
      <c r="F175" s="246">
        <f t="shared" si="50"/>
        <v>0</v>
      </c>
      <c r="G175" s="207">
        <v>7297</v>
      </c>
      <c r="H175" s="209"/>
      <c r="I175" s="208">
        <f t="shared" si="51"/>
        <v>7297</v>
      </c>
      <c r="J175" s="267"/>
      <c r="K175" s="7"/>
      <c r="L175" s="31">
        <f t="shared" si="52"/>
        <v>7297</v>
      </c>
      <c r="M175" s="30"/>
      <c r="N175" s="7"/>
      <c r="O175" s="31">
        <f t="shared" si="53"/>
        <v>7297</v>
      </c>
      <c r="P175" s="195"/>
      <c r="Q175" s="91">
        <f t="shared" si="43"/>
        <v>7297</v>
      </c>
    </row>
    <row r="176" spans="1:17" ht="12.75">
      <c r="A176" s="44" t="s">
        <v>340</v>
      </c>
      <c r="B176" s="108">
        <v>91252</v>
      </c>
      <c r="C176" s="128"/>
      <c r="D176" s="126"/>
      <c r="E176" s="126"/>
      <c r="F176" s="246"/>
      <c r="G176" s="207">
        <v>42265</v>
      </c>
      <c r="H176" s="209"/>
      <c r="I176" s="208">
        <f t="shared" si="51"/>
        <v>42265</v>
      </c>
      <c r="J176" s="267"/>
      <c r="K176" s="7"/>
      <c r="L176" s="31"/>
      <c r="M176" s="30"/>
      <c r="N176" s="7"/>
      <c r="O176" s="31"/>
      <c r="P176" s="195"/>
      <c r="Q176" s="91"/>
    </row>
    <row r="177" spans="1:17" ht="12.75">
      <c r="A177" s="44" t="s">
        <v>184</v>
      </c>
      <c r="B177" s="108">
        <v>27355</v>
      </c>
      <c r="C177" s="128"/>
      <c r="D177" s="126"/>
      <c r="E177" s="126"/>
      <c r="F177" s="246">
        <f t="shared" si="50"/>
        <v>0</v>
      </c>
      <c r="G177" s="207">
        <v>262962.71</v>
      </c>
      <c r="H177" s="209"/>
      <c r="I177" s="208">
        <f t="shared" si="51"/>
        <v>262962.71</v>
      </c>
      <c r="J177" s="267"/>
      <c r="K177" s="7"/>
      <c r="L177" s="31">
        <f t="shared" si="52"/>
        <v>262962.71</v>
      </c>
      <c r="M177" s="30"/>
      <c r="N177" s="7"/>
      <c r="O177" s="31">
        <f t="shared" si="53"/>
        <v>262962.71</v>
      </c>
      <c r="P177" s="195"/>
      <c r="Q177" s="91">
        <f t="shared" si="43"/>
        <v>262962.71</v>
      </c>
    </row>
    <row r="178" spans="1:17" ht="12.75">
      <c r="A178" s="47" t="s">
        <v>72</v>
      </c>
      <c r="B178" s="111"/>
      <c r="C178" s="138">
        <v>418504.1</v>
      </c>
      <c r="D178" s="139">
        <v>9500</v>
      </c>
      <c r="E178" s="139"/>
      <c r="F178" s="250">
        <f t="shared" si="50"/>
        <v>428004.1</v>
      </c>
      <c r="G178" s="218">
        <f>24.2-147.7</f>
        <v>-123.49999999999999</v>
      </c>
      <c r="H178" s="219"/>
      <c r="I178" s="220">
        <f t="shared" si="51"/>
        <v>427880.6</v>
      </c>
      <c r="J178" s="267"/>
      <c r="K178" s="7"/>
      <c r="L178" s="31">
        <f t="shared" si="52"/>
        <v>427880.6</v>
      </c>
      <c r="M178" s="30"/>
      <c r="N178" s="7"/>
      <c r="O178" s="31">
        <f t="shared" si="53"/>
        <v>427880.6</v>
      </c>
      <c r="P178" s="195"/>
      <c r="Q178" s="91">
        <f t="shared" si="43"/>
        <v>427880.6</v>
      </c>
    </row>
    <row r="179" spans="1:17" ht="12" customHeight="1" hidden="1">
      <c r="A179" s="44" t="s">
        <v>103</v>
      </c>
      <c r="B179" s="108"/>
      <c r="C179" s="128"/>
      <c r="D179" s="126"/>
      <c r="E179" s="126"/>
      <c r="F179" s="251">
        <f t="shared" si="50"/>
        <v>0</v>
      </c>
      <c r="G179" s="207"/>
      <c r="H179" s="209"/>
      <c r="I179" s="208">
        <f t="shared" si="51"/>
        <v>0</v>
      </c>
      <c r="J179" s="267"/>
      <c r="K179" s="7"/>
      <c r="L179" s="31">
        <f t="shared" si="52"/>
        <v>0</v>
      </c>
      <c r="M179" s="30"/>
      <c r="N179" s="7"/>
      <c r="O179" s="31">
        <f t="shared" si="53"/>
        <v>0</v>
      </c>
      <c r="P179" s="195"/>
      <c r="Q179" s="91">
        <f t="shared" si="43"/>
        <v>0</v>
      </c>
    </row>
    <row r="180" spans="1:17" ht="12.75" hidden="1">
      <c r="A180" s="51" t="s">
        <v>75</v>
      </c>
      <c r="B180" s="112"/>
      <c r="C180" s="140">
        <f>SUM(C182:C184)</f>
        <v>0</v>
      </c>
      <c r="D180" s="141">
        <f>SUM(D182:D184)</f>
        <v>0</v>
      </c>
      <c r="E180" s="141">
        <f>SUM(E182:E184)</f>
        <v>0</v>
      </c>
      <c r="F180" s="249">
        <f>SUM(F182:F184)</f>
        <v>0</v>
      </c>
      <c r="G180" s="287">
        <f aca="true" t="shared" si="54" ref="G180:Q180">SUM(G182:G184)</f>
        <v>0</v>
      </c>
      <c r="H180" s="288">
        <f t="shared" si="54"/>
        <v>0</v>
      </c>
      <c r="I180" s="217">
        <f t="shared" si="54"/>
        <v>0</v>
      </c>
      <c r="J180" s="273">
        <f t="shared" si="54"/>
        <v>0</v>
      </c>
      <c r="K180" s="142">
        <f t="shared" si="54"/>
        <v>0</v>
      </c>
      <c r="L180" s="142">
        <f t="shared" si="54"/>
        <v>0</v>
      </c>
      <c r="M180" s="142">
        <f t="shared" si="54"/>
        <v>0</v>
      </c>
      <c r="N180" s="142">
        <f t="shared" si="54"/>
        <v>0</v>
      </c>
      <c r="O180" s="142">
        <f t="shared" si="54"/>
        <v>0</v>
      </c>
      <c r="P180" s="142">
        <f t="shared" si="54"/>
        <v>0</v>
      </c>
      <c r="Q180" s="142">
        <f t="shared" si="54"/>
        <v>0</v>
      </c>
    </row>
    <row r="181" spans="1:17" ht="12.75" hidden="1">
      <c r="A181" s="42" t="s">
        <v>38</v>
      </c>
      <c r="B181" s="108"/>
      <c r="C181" s="129"/>
      <c r="D181" s="130"/>
      <c r="E181" s="130"/>
      <c r="F181" s="247"/>
      <c r="G181" s="211"/>
      <c r="H181" s="212"/>
      <c r="I181" s="210"/>
      <c r="J181" s="13"/>
      <c r="K181" s="8"/>
      <c r="L181" s="33"/>
      <c r="M181" s="32"/>
      <c r="N181" s="8"/>
      <c r="O181" s="33"/>
      <c r="P181" s="195"/>
      <c r="Q181" s="91"/>
    </row>
    <row r="182" spans="1:17" ht="12.75" hidden="1">
      <c r="A182" s="43" t="s">
        <v>76</v>
      </c>
      <c r="B182" s="108"/>
      <c r="C182" s="128"/>
      <c r="D182" s="126"/>
      <c r="E182" s="126"/>
      <c r="F182" s="246">
        <f>C182+D182+E182</f>
        <v>0</v>
      </c>
      <c r="G182" s="207"/>
      <c r="H182" s="209"/>
      <c r="I182" s="208">
        <f>F182+G182+H182</f>
        <v>0</v>
      </c>
      <c r="J182" s="267"/>
      <c r="K182" s="7"/>
      <c r="L182" s="31">
        <f>I182+J182+K182</f>
        <v>0</v>
      </c>
      <c r="M182" s="30"/>
      <c r="N182" s="7"/>
      <c r="O182" s="31">
        <f>L182+M182+N182</f>
        <v>0</v>
      </c>
      <c r="P182" s="195"/>
      <c r="Q182" s="91">
        <f t="shared" si="43"/>
        <v>0</v>
      </c>
    </row>
    <row r="183" spans="1:17" ht="12.75" hidden="1">
      <c r="A183" s="44" t="s">
        <v>92</v>
      </c>
      <c r="B183" s="108"/>
      <c r="C183" s="128"/>
      <c r="D183" s="126"/>
      <c r="E183" s="126"/>
      <c r="F183" s="246">
        <f>C183+D183+E183</f>
        <v>0</v>
      </c>
      <c r="G183" s="207"/>
      <c r="H183" s="209"/>
      <c r="I183" s="208">
        <f>F183+G183+H183</f>
        <v>0</v>
      </c>
      <c r="J183" s="267"/>
      <c r="K183" s="7"/>
      <c r="L183" s="31">
        <f>I183+J183+K183</f>
        <v>0</v>
      </c>
      <c r="M183" s="30"/>
      <c r="N183" s="7"/>
      <c r="O183" s="31">
        <f>L183+M183+N183</f>
        <v>0</v>
      </c>
      <c r="P183" s="195"/>
      <c r="Q183" s="91">
        <f t="shared" si="43"/>
        <v>0</v>
      </c>
    </row>
    <row r="184" spans="1:17" ht="12.75" hidden="1">
      <c r="A184" s="47" t="s">
        <v>104</v>
      </c>
      <c r="B184" s="111"/>
      <c r="C184" s="138"/>
      <c r="D184" s="139"/>
      <c r="E184" s="139"/>
      <c r="F184" s="250">
        <f>C184+D184+E184</f>
        <v>0</v>
      </c>
      <c r="G184" s="218"/>
      <c r="H184" s="219"/>
      <c r="I184" s="220">
        <f>F184+G184+H184</f>
        <v>0</v>
      </c>
      <c r="J184" s="12"/>
      <c r="K184" s="10"/>
      <c r="L184" s="35">
        <f>I184+J184+K184</f>
        <v>0</v>
      </c>
      <c r="M184" s="34"/>
      <c r="N184" s="10"/>
      <c r="O184" s="35">
        <f>L184+M184+N184</f>
        <v>0</v>
      </c>
      <c r="P184" s="200"/>
      <c r="Q184" s="93">
        <f t="shared" si="43"/>
        <v>0</v>
      </c>
    </row>
    <row r="185" spans="1:17" ht="12.75">
      <c r="A185" s="45" t="s">
        <v>105</v>
      </c>
      <c r="B185" s="112"/>
      <c r="C185" s="129">
        <f>C186+C191</f>
        <v>26577.399999999998</v>
      </c>
      <c r="D185" s="130">
        <f>D186+D191</f>
        <v>0</v>
      </c>
      <c r="E185" s="130">
        <f>E186+E191</f>
        <v>0</v>
      </c>
      <c r="F185" s="247">
        <f>F186+F191</f>
        <v>26577.399999999998</v>
      </c>
      <c r="G185" s="211">
        <f aca="true" t="shared" si="55" ref="G185:Q185">G186+G191</f>
        <v>400</v>
      </c>
      <c r="H185" s="212">
        <f t="shared" si="55"/>
        <v>0</v>
      </c>
      <c r="I185" s="210">
        <f t="shared" si="55"/>
        <v>26977.399999999998</v>
      </c>
      <c r="J185" s="270">
        <f t="shared" si="55"/>
        <v>0</v>
      </c>
      <c r="K185" s="131">
        <f t="shared" si="55"/>
        <v>0</v>
      </c>
      <c r="L185" s="131">
        <f t="shared" si="55"/>
        <v>26977.399999999998</v>
      </c>
      <c r="M185" s="131">
        <f t="shared" si="55"/>
        <v>0</v>
      </c>
      <c r="N185" s="131">
        <f t="shared" si="55"/>
        <v>0</v>
      </c>
      <c r="O185" s="131">
        <f t="shared" si="55"/>
        <v>26977.399999999998</v>
      </c>
      <c r="P185" s="131">
        <f t="shared" si="55"/>
        <v>0</v>
      </c>
      <c r="Q185" s="131">
        <f t="shared" si="55"/>
        <v>26977.399999999998</v>
      </c>
    </row>
    <row r="186" spans="1:17" ht="12.75">
      <c r="A186" s="50" t="s">
        <v>69</v>
      </c>
      <c r="B186" s="112"/>
      <c r="C186" s="135">
        <f>SUM(C188:C190)</f>
        <v>24580.8</v>
      </c>
      <c r="D186" s="136">
        <f>SUM(D188:D190)</f>
        <v>0</v>
      </c>
      <c r="E186" s="136">
        <f>SUM(E188:E190)</f>
        <v>0</v>
      </c>
      <c r="F186" s="190">
        <f>SUM(F188:F190)</f>
        <v>24580.8</v>
      </c>
      <c r="G186" s="214">
        <f aca="true" t="shared" si="56" ref="G186:Q186">SUM(G188:G190)</f>
        <v>0</v>
      </c>
      <c r="H186" s="215">
        <f t="shared" si="56"/>
        <v>0</v>
      </c>
      <c r="I186" s="216">
        <f t="shared" si="56"/>
        <v>24580.8</v>
      </c>
      <c r="J186" s="274">
        <f t="shared" si="56"/>
        <v>0</v>
      </c>
      <c r="K186" s="137">
        <f t="shared" si="56"/>
        <v>0</v>
      </c>
      <c r="L186" s="137">
        <f t="shared" si="56"/>
        <v>24580.8</v>
      </c>
      <c r="M186" s="137">
        <f t="shared" si="56"/>
        <v>0</v>
      </c>
      <c r="N186" s="137">
        <f t="shared" si="56"/>
        <v>0</v>
      </c>
      <c r="O186" s="137">
        <f t="shared" si="56"/>
        <v>24580.8</v>
      </c>
      <c r="P186" s="137">
        <f t="shared" si="56"/>
        <v>0</v>
      </c>
      <c r="Q186" s="137">
        <f t="shared" si="56"/>
        <v>24580.8</v>
      </c>
    </row>
    <row r="187" spans="1:17" ht="12.75">
      <c r="A187" s="46" t="s">
        <v>38</v>
      </c>
      <c r="B187" s="108"/>
      <c r="C187" s="128"/>
      <c r="D187" s="126"/>
      <c r="E187" s="126"/>
      <c r="F187" s="245"/>
      <c r="G187" s="207"/>
      <c r="H187" s="209"/>
      <c r="I187" s="206"/>
      <c r="J187" s="267"/>
      <c r="K187" s="7"/>
      <c r="L187" s="29"/>
      <c r="M187" s="30"/>
      <c r="N187" s="7"/>
      <c r="O187" s="29"/>
      <c r="P187" s="195"/>
      <c r="Q187" s="91"/>
    </row>
    <row r="188" spans="1:17" ht="12.75">
      <c r="A188" s="44" t="s">
        <v>72</v>
      </c>
      <c r="B188" s="108"/>
      <c r="C188" s="128">
        <v>4580.8</v>
      </c>
      <c r="D188" s="126"/>
      <c r="E188" s="126"/>
      <c r="F188" s="246">
        <f>C188+D188+E188</f>
        <v>4580.8</v>
      </c>
      <c r="G188" s="207"/>
      <c r="H188" s="209"/>
      <c r="I188" s="208">
        <f>F188+G188+H188</f>
        <v>4580.8</v>
      </c>
      <c r="J188" s="267"/>
      <c r="K188" s="7"/>
      <c r="L188" s="31">
        <f>I188+J188+K188</f>
        <v>4580.8</v>
      </c>
      <c r="M188" s="30"/>
      <c r="N188" s="7"/>
      <c r="O188" s="31">
        <f>L188+M188+N188</f>
        <v>4580.8</v>
      </c>
      <c r="P188" s="195"/>
      <c r="Q188" s="91">
        <f t="shared" si="43"/>
        <v>4580.8</v>
      </c>
    </row>
    <row r="189" spans="1:17" ht="12.75" hidden="1">
      <c r="A189" s="44" t="s">
        <v>104</v>
      </c>
      <c r="B189" s="108" t="s">
        <v>265</v>
      </c>
      <c r="C189" s="128"/>
      <c r="D189" s="126"/>
      <c r="E189" s="126"/>
      <c r="F189" s="246">
        <f>C189+D189+E189</f>
        <v>0</v>
      </c>
      <c r="G189" s="207"/>
      <c r="H189" s="209"/>
      <c r="I189" s="208">
        <f>F189+G189+H189</f>
        <v>0</v>
      </c>
      <c r="J189" s="267"/>
      <c r="K189" s="7"/>
      <c r="L189" s="31"/>
      <c r="M189" s="30"/>
      <c r="N189" s="7"/>
      <c r="O189" s="31">
        <f>L189+M189+N189</f>
        <v>0</v>
      </c>
      <c r="P189" s="195"/>
      <c r="Q189" s="91">
        <f t="shared" si="43"/>
        <v>0</v>
      </c>
    </row>
    <row r="190" spans="1:17" ht="12.75">
      <c r="A190" s="44" t="s">
        <v>106</v>
      </c>
      <c r="B190" s="108"/>
      <c r="C190" s="128">
        <v>20000</v>
      </c>
      <c r="D190" s="126"/>
      <c r="E190" s="126"/>
      <c r="F190" s="246">
        <f>C190+D190+E190</f>
        <v>20000</v>
      </c>
      <c r="G190" s="207"/>
      <c r="H190" s="209"/>
      <c r="I190" s="208">
        <f>F190+G190+H190</f>
        <v>20000</v>
      </c>
      <c r="J190" s="267"/>
      <c r="K190" s="7"/>
      <c r="L190" s="31">
        <f>I190+J190+K190</f>
        <v>20000</v>
      </c>
      <c r="M190" s="30"/>
      <c r="N190" s="7"/>
      <c r="O190" s="31">
        <f>L190+M190+N190</f>
        <v>20000</v>
      </c>
      <c r="P190" s="195"/>
      <c r="Q190" s="91">
        <f t="shared" si="43"/>
        <v>20000</v>
      </c>
    </row>
    <row r="191" spans="1:17" ht="12.75">
      <c r="A191" s="51" t="s">
        <v>75</v>
      </c>
      <c r="B191" s="112"/>
      <c r="C191" s="140">
        <f>C194+C193</f>
        <v>1996.6</v>
      </c>
      <c r="D191" s="184">
        <f>D194+D193</f>
        <v>0</v>
      </c>
      <c r="E191" s="184">
        <f>E194+E193</f>
        <v>0</v>
      </c>
      <c r="F191" s="249">
        <f>F194+F193</f>
        <v>1996.6</v>
      </c>
      <c r="G191" s="287">
        <f aca="true" t="shared" si="57" ref="G191:Q191">G194+G193</f>
        <v>400</v>
      </c>
      <c r="H191" s="288">
        <f t="shared" si="57"/>
        <v>0</v>
      </c>
      <c r="I191" s="217">
        <f t="shared" si="57"/>
        <v>2396.6</v>
      </c>
      <c r="J191" s="273">
        <f t="shared" si="57"/>
        <v>0</v>
      </c>
      <c r="K191" s="142">
        <f t="shared" si="57"/>
        <v>0</v>
      </c>
      <c r="L191" s="142">
        <f t="shared" si="57"/>
        <v>2396.6</v>
      </c>
      <c r="M191" s="142">
        <f t="shared" si="57"/>
        <v>0</v>
      </c>
      <c r="N191" s="142">
        <f t="shared" si="57"/>
        <v>0</v>
      </c>
      <c r="O191" s="142">
        <f t="shared" si="57"/>
        <v>2396.6</v>
      </c>
      <c r="P191" s="142">
        <f t="shared" si="57"/>
        <v>0</v>
      </c>
      <c r="Q191" s="142">
        <f t="shared" si="57"/>
        <v>2396.6</v>
      </c>
    </row>
    <row r="192" spans="1:17" ht="12.75">
      <c r="A192" s="42" t="s">
        <v>38</v>
      </c>
      <c r="B192" s="108"/>
      <c r="C192" s="129"/>
      <c r="D192" s="130"/>
      <c r="E192" s="130"/>
      <c r="F192" s="247"/>
      <c r="G192" s="211"/>
      <c r="H192" s="212"/>
      <c r="I192" s="210"/>
      <c r="J192" s="13"/>
      <c r="K192" s="8"/>
      <c r="L192" s="33"/>
      <c r="M192" s="32"/>
      <c r="N192" s="8"/>
      <c r="O192" s="33"/>
      <c r="P192" s="195"/>
      <c r="Q192" s="91"/>
    </row>
    <row r="193" spans="1:17" ht="12.75" hidden="1">
      <c r="A193" s="44" t="s">
        <v>233</v>
      </c>
      <c r="B193" s="108">
        <v>98861</v>
      </c>
      <c r="C193" s="128"/>
      <c r="D193" s="126"/>
      <c r="E193" s="130"/>
      <c r="F193" s="246">
        <f>C193+D193+E193</f>
        <v>0</v>
      </c>
      <c r="G193" s="211"/>
      <c r="H193" s="212"/>
      <c r="I193" s="208">
        <f>F193+G193+H193</f>
        <v>0</v>
      </c>
      <c r="J193" s="13"/>
      <c r="K193" s="8"/>
      <c r="L193" s="31"/>
      <c r="M193" s="32"/>
      <c r="N193" s="8"/>
      <c r="O193" s="31">
        <f>L193+M193+N193</f>
        <v>0</v>
      </c>
      <c r="P193" s="195"/>
      <c r="Q193" s="91">
        <f t="shared" si="43"/>
        <v>0</v>
      </c>
    </row>
    <row r="194" spans="1:17" ht="13.5" thickBot="1">
      <c r="A194" s="334" t="s">
        <v>76</v>
      </c>
      <c r="B194" s="327"/>
      <c r="C194" s="328">
        <v>1996.6</v>
      </c>
      <c r="D194" s="329"/>
      <c r="E194" s="329"/>
      <c r="F194" s="330">
        <f>C194+D194+E194</f>
        <v>1996.6</v>
      </c>
      <c r="G194" s="331">
        <v>400</v>
      </c>
      <c r="H194" s="332"/>
      <c r="I194" s="333">
        <f>F194+G194+H194</f>
        <v>2396.6</v>
      </c>
      <c r="J194" s="12"/>
      <c r="K194" s="10"/>
      <c r="L194" s="35">
        <f>I194+J194+K194</f>
        <v>2396.6</v>
      </c>
      <c r="M194" s="34"/>
      <c r="N194" s="10"/>
      <c r="O194" s="35">
        <f>L194+M194+N194</f>
        <v>2396.6</v>
      </c>
      <c r="P194" s="200"/>
      <c r="Q194" s="93">
        <f t="shared" si="43"/>
        <v>2396.6</v>
      </c>
    </row>
    <row r="195" spans="1:17" ht="12.75">
      <c r="A195" s="41" t="s">
        <v>243</v>
      </c>
      <c r="B195" s="112"/>
      <c r="C195" s="123">
        <f>C196+C226</f>
        <v>2725.7</v>
      </c>
      <c r="D195" s="124">
        <f>D196+D226</f>
        <v>144444.3</v>
      </c>
      <c r="E195" s="124">
        <f>E196+E226</f>
        <v>0</v>
      </c>
      <c r="F195" s="245">
        <f>F196+F226</f>
        <v>147170</v>
      </c>
      <c r="G195" s="204">
        <f aca="true" t="shared" si="58" ref="G195:Q195">G196+G226</f>
        <v>28356.269999999997</v>
      </c>
      <c r="H195" s="205">
        <f t="shared" si="58"/>
        <v>0</v>
      </c>
      <c r="I195" s="206">
        <f t="shared" si="58"/>
        <v>175526.27</v>
      </c>
      <c r="J195" s="268">
        <f t="shared" si="58"/>
        <v>0</v>
      </c>
      <c r="K195" s="125">
        <f t="shared" si="58"/>
        <v>0</v>
      </c>
      <c r="L195" s="125">
        <f t="shared" si="58"/>
        <v>150363.80999999997</v>
      </c>
      <c r="M195" s="125">
        <f t="shared" si="58"/>
        <v>0</v>
      </c>
      <c r="N195" s="125">
        <f t="shared" si="58"/>
        <v>0</v>
      </c>
      <c r="O195" s="125">
        <f t="shared" si="58"/>
        <v>150363.80999999997</v>
      </c>
      <c r="P195" s="125">
        <f t="shared" si="58"/>
        <v>0</v>
      </c>
      <c r="Q195" s="125">
        <f t="shared" si="58"/>
        <v>150363.80999999997</v>
      </c>
    </row>
    <row r="196" spans="1:17" ht="12.75">
      <c r="A196" s="50" t="s">
        <v>69</v>
      </c>
      <c r="B196" s="112"/>
      <c r="C196" s="135">
        <f>SUM(C198:C225)</f>
        <v>2725.7</v>
      </c>
      <c r="D196" s="136">
        <f>SUM(D198:D225)</f>
        <v>136411.28</v>
      </c>
      <c r="E196" s="136">
        <f>SUM(E198:E225)</f>
        <v>0</v>
      </c>
      <c r="F196" s="190">
        <f>SUM(F198:F225)</f>
        <v>139136.98</v>
      </c>
      <c r="G196" s="214">
        <f aca="true" t="shared" si="59" ref="G196:Q196">SUM(G198:G225)</f>
        <v>27283.329999999998</v>
      </c>
      <c r="H196" s="215">
        <f t="shared" si="59"/>
        <v>0</v>
      </c>
      <c r="I196" s="216">
        <f t="shared" si="59"/>
        <v>166420.31</v>
      </c>
      <c r="J196" s="274">
        <f t="shared" si="59"/>
        <v>0</v>
      </c>
      <c r="K196" s="137">
        <f t="shared" si="59"/>
        <v>0</v>
      </c>
      <c r="L196" s="137">
        <f t="shared" si="59"/>
        <v>142330.78999999998</v>
      </c>
      <c r="M196" s="137">
        <f t="shared" si="59"/>
        <v>0</v>
      </c>
      <c r="N196" s="137">
        <f t="shared" si="59"/>
        <v>0</v>
      </c>
      <c r="O196" s="137">
        <f t="shared" si="59"/>
        <v>142330.78999999998</v>
      </c>
      <c r="P196" s="137">
        <f t="shared" si="59"/>
        <v>0</v>
      </c>
      <c r="Q196" s="137">
        <f t="shared" si="59"/>
        <v>142330.78999999998</v>
      </c>
    </row>
    <row r="197" spans="1:17" ht="12.75">
      <c r="A197" s="42" t="s">
        <v>38</v>
      </c>
      <c r="B197" s="108"/>
      <c r="C197" s="129"/>
      <c r="D197" s="130"/>
      <c r="E197" s="130"/>
      <c r="F197" s="247"/>
      <c r="G197" s="211"/>
      <c r="H197" s="212"/>
      <c r="I197" s="210"/>
      <c r="J197" s="13"/>
      <c r="K197" s="8"/>
      <c r="L197" s="33"/>
      <c r="M197" s="32"/>
      <c r="N197" s="8"/>
      <c r="O197" s="33"/>
      <c r="P197" s="195"/>
      <c r="Q197" s="91"/>
    </row>
    <row r="198" spans="1:17" ht="12.75">
      <c r="A198" s="44" t="s">
        <v>72</v>
      </c>
      <c r="B198" s="108"/>
      <c r="C198" s="128">
        <v>2725.7</v>
      </c>
      <c r="D198" s="126">
        <f>46.86+0.72+705.93+18.63+1.75+7.91+72.46+1000+11.99</f>
        <v>1866.25</v>
      </c>
      <c r="E198" s="126"/>
      <c r="F198" s="246">
        <f>C198+D198+E198</f>
        <v>4591.95</v>
      </c>
      <c r="G198" s="207">
        <f>11.09+312.92</f>
        <v>324.01</v>
      </c>
      <c r="H198" s="209"/>
      <c r="I198" s="208">
        <f>F198+G198+H198</f>
        <v>4915.96</v>
      </c>
      <c r="J198" s="271"/>
      <c r="K198" s="7"/>
      <c r="L198" s="31">
        <f>I198+J198+K198</f>
        <v>4915.96</v>
      </c>
      <c r="M198" s="39"/>
      <c r="N198" s="7"/>
      <c r="O198" s="31">
        <f>L198+M198+N198</f>
        <v>4915.96</v>
      </c>
      <c r="P198" s="195"/>
      <c r="Q198" s="91">
        <f t="shared" si="43"/>
        <v>4915.96</v>
      </c>
    </row>
    <row r="199" spans="1:17" ht="12.75">
      <c r="A199" s="53" t="s">
        <v>292</v>
      </c>
      <c r="B199" s="108">
        <v>5100</v>
      </c>
      <c r="C199" s="128"/>
      <c r="D199" s="126">
        <f>37011.97</f>
        <v>37011.97</v>
      </c>
      <c r="E199" s="126"/>
      <c r="F199" s="246">
        <f aca="true" t="shared" si="60" ref="F199:F225">C199+D199+E199</f>
        <v>37011.97</v>
      </c>
      <c r="G199" s="207">
        <f>0.29+151.52+154.86+11.67+8.73</f>
        <v>327.07000000000005</v>
      </c>
      <c r="H199" s="209"/>
      <c r="I199" s="208">
        <f aca="true" t="shared" si="61" ref="I199:I225">F199+G199+H199</f>
        <v>37339.04</v>
      </c>
      <c r="J199" s="267"/>
      <c r="K199" s="7"/>
      <c r="L199" s="31">
        <f aca="true" t="shared" si="62" ref="L199:L223">I199+J199+K199</f>
        <v>37339.04</v>
      </c>
      <c r="M199" s="30"/>
      <c r="N199" s="7"/>
      <c r="O199" s="31">
        <f aca="true" t="shared" si="63" ref="O199:O223">L199+M199+N199</f>
        <v>37339.04</v>
      </c>
      <c r="P199" s="195"/>
      <c r="Q199" s="91">
        <f t="shared" si="43"/>
        <v>37339.04</v>
      </c>
    </row>
    <row r="200" spans="1:17" ht="12.75">
      <c r="A200" s="53" t="s">
        <v>180</v>
      </c>
      <c r="B200" s="108"/>
      <c r="C200" s="128"/>
      <c r="D200" s="126"/>
      <c r="E200" s="126"/>
      <c r="F200" s="246">
        <f t="shared" si="60"/>
        <v>0</v>
      </c>
      <c r="G200" s="207">
        <v>5316.37</v>
      </c>
      <c r="H200" s="209"/>
      <c r="I200" s="208">
        <f t="shared" si="61"/>
        <v>5316.37</v>
      </c>
      <c r="J200" s="267"/>
      <c r="K200" s="7"/>
      <c r="L200" s="31">
        <f t="shared" si="62"/>
        <v>5316.37</v>
      </c>
      <c r="M200" s="30"/>
      <c r="N200" s="7"/>
      <c r="O200" s="31">
        <f t="shared" si="63"/>
        <v>5316.37</v>
      </c>
      <c r="P200" s="195"/>
      <c r="Q200" s="91">
        <f t="shared" si="43"/>
        <v>5316.37</v>
      </c>
    </row>
    <row r="201" spans="1:17" ht="12.75">
      <c r="A201" s="53" t="s">
        <v>293</v>
      </c>
      <c r="B201" s="108">
        <v>5200</v>
      </c>
      <c r="C201" s="128"/>
      <c r="D201" s="126">
        <v>31.86</v>
      </c>
      <c r="E201" s="126"/>
      <c r="F201" s="246">
        <f t="shared" si="60"/>
        <v>31.86</v>
      </c>
      <c r="G201" s="207"/>
      <c r="H201" s="209"/>
      <c r="I201" s="208">
        <f t="shared" si="61"/>
        <v>31.86</v>
      </c>
      <c r="J201" s="267"/>
      <c r="K201" s="7"/>
      <c r="L201" s="31">
        <f t="shared" si="62"/>
        <v>31.86</v>
      </c>
      <c r="M201" s="30"/>
      <c r="N201" s="7"/>
      <c r="O201" s="31">
        <f t="shared" si="63"/>
        <v>31.86</v>
      </c>
      <c r="P201" s="195"/>
      <c r="Q201" s="91">
        <f t="shared" si="43"/>
        <v>31.86</v>
      </c>
    </row>
    <row r="202" spans="1:17" ht="12.75">
      <c r="A202" s="53" t="s">
        <v>181</v>
      </c>
      <c r="B202" s="108"/>
      <c r="C202" s="128"/>
      <c r="D202" s="126"/>
      <c r="E202" s="126"/>
      <c r="F202" s="246">
        <f t="shared" si="60"/>
        <v>0</v>
      </c>
      <c r="G202" s="207">
        <f>9.35+158.05</f>
        <v>167.4</v>
      </c>
      <c r="H202" s="209"/>
      <c r="I202" s="208">
        <f t="shared" si="61"/>
        <v>167.4</v>
      </c>
      <c r="J202" s="267"/>
      <c r="K202" s="7"/>
      <c r="L202" s="31">
        <f t="shared" si="62"/>
        <v>167.4</v>
      </c>
      <c r="M202" s="30"/>
      <c r="N202" s="7"/>
      <c r="O202" s="31">
        <f t="shared" si="63"/>
        <v>167.4</v>
      </c>
      <c r="P202" s="195"/>
      <c r="Q202" s="91">
        <f t="shared" si="43"/>
        <v>167.4</v>
      </c>
    </row>
    <row r="203" spans="1:17" ht="12.75">
      <c r="A203" s="44" t="s">
        <v>305</v>
      </c>
      <c r="B203" s="108">
        <v>2400</v>
      </c>
      <c r="C203" s="128"/>
      <c r="D203" s="126">
        <v>308.12</v>
      </c>
      <c r="E203" s="126"/>
      <c r="F203" s="246">
        <f t="shared" si="60"/>
        <v>308.12</v>
      </c>
      <c r="G203" s="207"/>
      <c r="H203" s="209"/>
      <c r="I203" s="208">
        <f t="shared" si="61"/>
        <v>308.12</v>
      </c>
      <c r="J203" s="267"/>
      <c r="K203" s="7"/>
      <c r="L203" s="31"/>
      <c r="M203" s="30"/>
      <c r="N203" s="7"/>
      <c r="O203" s="31"/>
      <c r="P203" s="195"/>
      <c r="Q203" s="91"/>
    </row>
    <row r="204" spans="1:17" ht="12.75" hidden="1">
      <c r="A204" s="44" t="s">
        <v>306</v>
      </c>
      <c r="B204" s="108"/>
      <c r="C204" s="128"/>
      <c r="D204" s="126"/>
      <c r="E204" s="126"/>
      <c r="F204" s="246">
        <f t="shared" si="60"/>
        <v>0</v>
      </c>
      <c r="G204" s="207"/>
      <c r="H204" s="209"/>
      <c r="I204" s="208">
        <f t="shared" si="61"/>
        <v>0</v>
      </c>
      <c r="J204" s="267"/>
      <c r="K204" s="7"/>
      <c r="L204" s="31"/>
      <c r="M204" s="30"/>
      <c r="N204" s="7"/>
      <c r="O204" s="31"/>
      <c r="P204" s="195"/>
      <c r="Q204" s="91"/>
    </row>
    <row r="205" spans="1:17" ht="12.75">
      <c r="A205" s="53" t="s">
        <v>307</v>
      </c>
      <c r="B205" s="108">
        <v>3800</v>
      </c>
      <c r="C205" s="128"/>
      <c r="D205" s="126">
        <v>1568.95</v>
      </c>
      <c r="E205" s="126"/>
      <c r="F205" s="246">
        <f t="shared" si="60"/>
        <v>1568.95</v>
      </c>
      <c r="G205" s="207"/>
      <c r="H205" s="209"/>
      <c r="I205" s="208">
        <f t="shared" si="61"/>
        <v>1568.95</v>
      </c>
      <c r="J205" s="267"/>
      <c r="K205" s="7"/>
      <c r="L205" s="31"/>
      <c r="M205" s="30"/>
      <c r="N205" s="7"/>
      <c r="O205" s="31"/>
      <c r="P205" s="195"/>
      <c r="Q205" s="91"/>
    </row>
    <row r="206" spans="1:17" ht="12.75">
      <c r="A206" s="53" t="s">
        <v>347</v>
      </c>
      <c r="B206" s="108"/>
      <c r="C206" s="128"/>
      <c r="D206" s="126"/>
      <c r="E206" s="126"/>
      <c r="F206" s="246">
        <f t="shared" si="60"/>
        <v>0</v>
      </c>
      <c r="G206" s="207">
        <v>2298.02</v>
      </c>
      <c r="H206" s="209"/>
      <c r="I206" s="208">
        <f t="shared" si="61"/>
        <v>2298.02</v>
      </c>
      <c r="J206" s="267"/>
      <c r="K206" s="7"/>
      <c r="L206" s="31"/>
      <c r="M206" s="30"/>
      <c r="N206" s="7"/>
      <c r="O206" s="31"/>
      <c r="P206" s="195"/>
      <c r="Q206" s="91"/>
    </row>
    <row r="207" spans="1:17" ht="12.75">
      <c r="A207" s="53" t="s">
        <v>266</v>
      </c>
      <c r="B207" s="108">
        <v>3500</v>
      </c>
      <c r="C207" s="128"/>
      <c r="D207" s="126">
        <v>3298.9</v>
      </c>
      <c r="E207" s="126"/>
      <c r="F207" s="246">
        <f t="shared" si="60"/>
        <v>3298.9</v>
      </c>
      <c r="G207" s="207">
        <f>10.5</f>
        <v>10.5</v>
      </c>
      <c r="H207" s="209"/>
      <c r="I207" s="208">
        <f t="shared" si="61"/>
        <v>3309.4</v>
      </c>
      <c r="J207" s="267"/>
      <c r="K207" s="7"/>
      <c r="L207" s="31">
        <f t="shared" si="62"/>
        <v>3309.4</v>
      </c>
      <c r="M207" s="30"/>
      <c r="N207" s="7"/>
      <c r="O207" s="31">
        <f t="shared" si="63"/>
        <v>3309.4</v>
      </c>
      <c r="P207" s="195"/>
      <c r="Q207" s="91">
        <f t="shared" si="43"/>
        <v>3309.4</v>
      </c>
    </row>
    <row r="208" spans="1:17" ht="12.75" hidden="1">
      <c r="A208" s="53" t="s">
        <v>267</v>
      </c>
      <c r="B208" s="108"/>
      <c r="C208" s="128"/>
      <c r="D208" s="126"/>
      <c r="E208" s="126"/>
      <c r="F208" s="246">
        <f t="shared" si="60"/>
        <v>0</v>
      </c>
      <c r="G208" s="207"/>
      <c r="H208" s="209"/>
      <c r="I208" s="208">
        <f t="shared" si="61"/>
        <v>0</v>
      </c>
      <c r="J208" s="267"/>
      <c r="K208" s="7"/>
      <c r="L208" s="31">
        <f t="shared" si="62"/>
        <v>0</v>
      </c>
      <c r="M208" s="30"/>
      <c r="N208" s="7"/>
      <c r="O208" s="31">
        <f t="shared" si="63"/>
        <v>0</v>
      </c>
      <c r="P208" s="195"/>
      <c r="Q208" s="91">
        <f t="shared" si="43"/>
        <v>0</v>
      </c>
    </row>
    <row r="209" spans="1:17" ht="12.75">
      <c r="A209" s="53" t="s">
        <v>294</v>
      </c>
      <c r="B209" s="108">
        <v>1500</v>
      </c>
      <c r="C209" s="128"/>
      <c r="D209" s="126">
        <v>162.35</v>
      </c>
      <c r="E209" s="126"/>
      <c r="F209" s="246">
        <f t="shared" si="60"/>
        <v>162.35</v>
      </c>
      <c r="G209" s="207"/>
      <c r="H209" s="209"/>
      <c r="I209" s="208">
        <f t="shared" si="61"/>
        <v>162.35</v>
      </c>
      <c r="J209" s="267"/>
      <c r="K209" s="7"/>
      <c r="L209" s="31">
        <f t="shared" si="62"/>
        <v>162.35</v>
      </c>
      <c r="M209" s="30"/>
      <c r="N209" s="7"/>
      <c r="O209" s="31">
        <f t="shared" si="63"/>
        <v>162.35</v>
      </c>
      <c r="P209" s="195"/>
      <c r="Q209" s="91">
        <f t="shared" si="43"/>
        <v>162.35</v>
      </c>
    </row>
    <row r="210" spans="1:17" ht="12.75" hidden="1">
      <c r="A210" s="53" t="s">
        <v>198</v>
      </c>
      <c r="B210" s="108"/>
      <c r="C210" s="128"/>
      <c r="D210" s="126"/>
      <c r="E210" s="126"/>
      <c r="F210" s="246">
        <f t="shared" si="60"/>
        <v>0</v>
      </c>
      <c r="G210" s="207"/>
      <c r="H210" s="209"/>
      <c r="I210" s="208">
        <f t="shared" si="61"/>
        <v>0</v>
      </c>
      <c r="J210" s="267"/>
      <c r="K210" s="7"/>
      <c r="L210" s="31">
        <f t="shared" si="62"/>
        <v>0</v>
      </c>
      <c r="M210" s="30"/>
      <c r="N210" s="7"/>
      <c r="O210" s="31">
        <f t="shared" si="63"/>
        <v>0</v>
      </c>
      <c r="P210" s="195"/>
      <c r="Q210" s="91">
        <f t="shared" si="43"/>
        <v>0</v>
      </c>
    </row>
    <row r="211" spans="1:17" ht="12.75">
      <c r="A211" s="53" t="s">
        <v>295</v>
      </c>
      <c r="B211" s="108">
        <v>3600</v>
      </c>
      <c r="C211" s="128"/>
      <c r="D211" s="126">
        <v>111.81</v>
      </c>
      <c r="E211" s="126"/>
      <c r="F211" s="246">
        <f t="shared" si="60"/>
        <v>111.81</v>
      </c>
      <c r="G211" s="207"/>
      <c r="H211" s="209"/>
      <c r="I211" s="208">
        <f t="shared" si="61"/>
        <v>111.81</v>
      </c>
      <c r="J211" s="267"/>
      <c r="K211" s="7"/>
      <c r="L211" s="31">
        <f t="shared" si="62"/>
        <v>111.81</v>
      </c>
      <c r="M211" s="30"/>
      <c r="N211" s="7"/>
      <c r="O211" s="31">
        <f t="shared" si="63"/>
        <v>111.81</v>
      </c>
      <c r="P211" s="195"/>
      <c r="Q211" s="91">
        <f t="shared" si="43"/>
        <v>111.81</v>
      </c>
    </row>
    <row r="212" spans="1:17" ht="12.75">
      <c r="A212" s="53" t="s">
        <v>199</v>
      </c>
      <c r="B212" s="108"/>
      <c r="C212" s="128"/>
      <c r="D212" s="126"/>
      <c r="E212" s="126"/>
      <c r="F212" s="246">
        <f t="shared" si="60"/>
        <v>0</v>
      </c>
      <c r="G212" s="207">
        <v>40.84</v>
      </c>
      <c r="H212" s="209"/>
      <c r="I212" s="208">
        <f t="shared" si="61"/>
        <v>40.84</v>
      </c>
      <c r="J212" s="267"/>
      <c r="K212" s="7"/>
      <c r="L212" s="31">
        <f t="shared" si="62"/>
        <v>40.84</v>
      </c>
      <c r="M212" s="30"/>
      <c r="N212" s="7"/>
      <c r="O212" s="31">
        <f t="shared" si="63"/>
        <v>40.84</v>
      </c>
      <c r="P212" s="195"/>
      <c r="Q212" s="91">
        <f aca="true" t="shared" si="64" ref="Q212:Q282">O212+P212</f>
        <v>40.84</v>
      </c>
    </row>
    <row r="213" spans="1:17" ht="12.75">
      <c r="A213" s="44" t="s">
        <v>296</v>
      </c>
      <c r="B213" s="108">
        <v>4000</v>
      </c>
      <c r="C213" s="128"/>
      <c r="D213" s="126">
        <f>14079.26</f>
        <v>14079.26</v>
      </c>
      <c r="E213" s="126"/>
      <c r="F213" s="246">
        <f t="shared" si="60"/>
        <v>14079.26</v>
      </c>
      <c r="G213" s="207"/>
      <c r="H213" s="209"/>
      <c r="I213" s="208">
        <f t="shared" si="61"/>
        <v>14079.26</v>
      </c>
      <c r="J213" s="267"/>
      <c r="K213" s="7"/>
      <c r="L213" s="31">
        <f t="shared" si="62"/>
        <v>14079.26</v>
      </c>
      <c r="M213" s="30"/>
      <c r="N213" s="7"/>
      <c r="O213" s="31">
        <f t="shared" si="63"/>
        <v>14079.26</v>
      </c>
      <c r="P213" s="195"/>
      <c r="Q213" s="91">
        <f t="shared" si="64"/>
        <v>14079.26</v>
      </c>
    </row>
    <row r="214" spans="1:17" ht="12.75" hidden="1">
      <c r="A214" s="44" t="s">
        <v>189</v>
      </c>
      <c r="B214" s="108"/>
      <c r="C214" s="128"/>
      <c r="D214" s="126"/>
      <c r="E214" s="126"/>
      <c r="F214" s="246">
        <f t="shared" si="60"/>
        <v>0</v>
      </c>
      <c r="G214" s="207"/>
      <c r="H214" s="209"/>
      <c r="I214" s="208">
        <f t="shared" si="61"/>
        <v>0</v>
      </c>
      <c r="J214" s="267"/>
      <c r="K214" s="7"/>
      <c r="L214" s="31">
        <f t="shared" si="62"/>
        <v>0</v>
      </c>
      <c r="M214" s="30"/>
      <c r="N214" s="7"/>
      <c r="O214" s="31">
        <f t="shared" si="63"/>
        <v>0</v>
      </c>
      <c r="P214" s="195"/>
      <c r="Q214" s="91">
        <f t="shared" si="64"/>
        <v>0</v>
      </c>
    </row>
    <row r="215" spans="1:17" ht="12.75">
      <c r="A215" s="44" t="s">
        <v>297</v>
      </c>
      <c r="B215" s="108">
        <v>2100</v>
      </c>
      <c r="C215" s="128"/>
      <c r="D215" s="126">
        <f>33271.89</f>
        <v>33271.89</v>
      </c>
      <c r="E215" s="126"/>
      <c r="F215" s="246">
        <f t="shared" si="60"/>
        <v>33271.89</v>
      </c>
      <c r="G215" s="207"/>
      <c r="H215" s="209"/>
      <c r="I215" s="208">
        <f t="shared" si="61"/>
        <v>33271.89</v>
      </c>
      <c r="J215" s="267"/>
      <c r="K215" s="7"/>
      <c r="L215" s="31">
        <f t="shared" si="62"/>
        <v>33271.89</v>
      </c>
      <c r="M215" s="30"/>
      <c r="N215" s="7"/>
      <c r="O215" s="31">
        <f t="shared" si="63"/>
        <v>33271.89</v>
      </c>
      <c r="P215" s="195"/>
      <c r="Q215" s="91">
        <f t="shared" si="64"/>
        <v>33271.89</v>
      </c>
    </row>
    <row r="216" spans="1:17" ht="12.75">
      <c r="A216" s="44" t="s">
        <v>346</v>
      </c>
      <c r="B216" s="108"/>
      <c r="C216" s="128"/>
      <c r="D216" s="126"/>
      <c r="E216" s="126"/>
      <c r="F216" s="246">
        <f t="shared" si="60"/>
        <v>0</v>
      </c>
      <c r="G216" s="207">
        <v>12155.86</v>
      </c>
      <c r="H216" s="209"/>
      <c r="I216" s="208">
        <f t="shared" si="61"/>
        <v>12155.86</v>
      </c>
      <c r="J216" s="267"/>
      <c r="K216" s="7"/>
      <c r="L216" s="31"/>
      <c r="M216" s="30"/>
      <c r="N216" s="7"/>
      <c r="O216" s="31"/>
      <c r="P216" s="195"/>
      <c r="Q216" s="91"/>
    </row>
    <row r="217" spans="1:17" ht="12.75">
      <c r="A217" s="53" t="s">
        <v>298</v>
      </c>
      <c r="B217" s="108">
        <v>4100</v>
      </c>
      <c r="C217" s="128"/>
      <c r="D217" s="126">
        <f>3832.84</f>
        <v>3832.84</v>
      </c>
      <c r="E217" s="126"/>
      <c r="F217" s="246">
        <f t="shared" si="60"/>
        <v>3832.84</v>
      </c>
      <c r="G217" s="207"/>
      <c r="H217" s="209"/>
      <c r="I217" s="208">
        <f t="shared" si="61"/>
        <v>3832.84</v>
      </c>
      <c r="J217" s="267"/>
      <c r="K217" s="7"/>
      <c r="L217" s="31">
        <f t="shared" si="62"/>
        <v>3832.84</v>
      </c>
      <c r="M217" s="30"/>
      <c r="N217" s="7"/>
      <c r="O217" s="31">
        <f t="shared" si="63"/>
        <v>3832.84</v>
      </c>
      <c r="P217" s="195"/>
      <c r="Q217" s="91">
        <f t="shared" si="64"/>
        <v>3832.84</v>
      </c>
    </row>
    <row r="218" spans="1:17" ht="12.75" hidden="1">
      <c r="A218" s="53" t="s">
        <v>194</v>
      </c>
      <c r="B218" s="108"/>
      <c r="C218" s="128"/>
      <c r="D218" s="126"/>
      <c r="E218" s="126"/>
      <c r="F218" s="246">
        <f t="shared" si="60"/>
        <v>0</v>
      </c>
      <c r="G218" s="207"/>
      <c r="H218" s="209"/>
      <c r="I218" s="208">
        <f t="shared" si="61"/>
        <v>0</v>
      </c>
      <c r="J218" s="267"/>
      <c r="K218" s="7"/>
      <c r="L218" s="31">
        <f t="shared" si="62"/>
        <v>0</v>
      </c>
      <c r="M218" s="30"/>
      <c r="N218" s="7"/>
      <c r="O218" s="31">
        <f t="shared" si="63"/>
        <v>0</v>
      </c>
      <c r="P218" s="195"/>
      <c r="Q218" s="91">
        <f t="shared" si="64"/>
        <v>0</v>
      </c>
    </row>
    <row r="219" spans="1:17" ht="12.75">
      <c r="A219" s="53" t="s">
        <v>299</v>
      </c>
      <c r="B219" s="108">
        <v>2200</v>
      </c>
      <c r="C219" s="128"/>
      <c r="D219" s="126">
        <f>9955.72</f>
        <v>9955.72</v>
      </c>
      <c r="E219" s="126"/>
      <c r="F219" s="246">
        <f t="shared" si="60"/>
        <v>9955.72</v>
      </c>
      <c r="G219" s="207"/>
      <c r="H219" s="209"/>
      <c r="I219" s="208">
        <f t="shared" si="61"/>
        <v>9955.72</v>
      </c>
      <c r="J219" s="267"/>
      <c r="K219" s="7"/>
      <c r="L219" s="31">
        <f t="shared" si="62"/>
        <v>9955.72</v>
      </c>
      <c r="M219" s="30"/>
      <c r="N219" s="7"/>
      <c r="O219" s="31">
        <f t="shared" si="63"/>
        <v>9955.72</v>
      </c>
      <c r="P219" s="195"/>
      <c r="Q219" s="91">
        <f t="shared" si="64"/>
        <v>9955.72</v>
      </c>
    </row>
    <row r="220" spans="1:17" ht="12.75">
      <c r="A220" s="53" t="s">
        <v>344</v>
      </c>
      <c r="B220" s="108"/>
      <c r="C220" s="128"/>
      <c r="D220" s="126"/>
      <c r="E220" s="126"/>
      <c r="F220" s="246">
        <f t="shared" si="60"/>
        <v>0</v>
      </c>
      <c r="G220" s="207">
        <v>2451.69</v>
      </c>
      <c r="H220" s="209"/>
      <c r="I220" s="208">
        <f t="shared" si="61"/>
        <v>2451.69</v>
      </c>
      <c r="J220" s="267"/>
      <c r="K220" s="7"/>
      <c r="L220" s="31"/>
      <c r="M220" s="30"/>
      <c r="N220" s="7"/>
      <c r="O220" s="31"/>
      <c r="P220" s="195"/>
      <c r="Q220" s="91"/>
    </row>
    <row r="221" spans="1:17" ht="12.75">
      <c r="A221" s="53" t="s">
        <v>300</v>
      </c>
      <c r="B221" s="108">
        <v>4200</v>
      </c>
      <c r="C221" s="128"/>
      <c r="D221" s="126">
        <f>14388.11</f>
        <v>14388.11</v>
      </c>
      <c r="E221" s="126"/>
      <c r="F221" s="246">
        <f t="shared" si="60"/>
        <v>14388.11</v>
      </c>
      <c r="G221" s="207"/>
      <c r="H221" s="209"/>
      <c r="I221" s="208">
        <f t="shared" si="61"/>
        <v>14388.11</v>
      </c>
      <c r="J221" s="267"/>
      <c r="K221" s="7"/>
      <c r="L221" s="31">
        <f t="shared" si="62"/>
        <v>14388.11</v>
      </c>
      <c r="M221" s="30"/>
      <c r="N221" s="7"/>
      <c r="O221" s="31">
        <f t="shared" si="63"/>
        <v>14388.11</v>
      </c>
      <c r="P221" s="195"/>
      <c r="Q221" s="91">
        <f t="shared" si="64"/>
        <v>14388.11</v>
      </c>
    </row>
    <row r="222" spans="1:17" ht="12.75" hidden="1">
      <c r="A222" s="53" t="s">
        <v>188</v>
      </c>
      <c r="B222" s="108"/>
      <c r="C222" s="128"/>
      <c r="D222" s="126"/>
      <c r="E222" s="126"/>
      <c r="F222" s="246">
        <f t="shared" si="60"/>
        <v>0</v>
      </c>
      <c r="G222" s="207"/>
      <c r="H222" s="209"/>
      <c r="I222" s="208">
        <f t="shared" si="61"/>
        <v>0</v>
      </c>
      <c r="J222" s="267"/>
      <c r="K222" s="7"/>
      <c r="L222" s="31">
        <f t="shared" si="62"/>
        <v>0</v>
      </c>
      <c r="M222" s="30"/>
      <c r="N222" s="7"/>
      <c r="O222" s="31">
        <f t="shared" si="63"/>
        <v>0</v>
      </c>
      <c r="P222" s="195"/>
      <c r="Q222" s="91">
        <f t="shared" si="64"/>
        <v>0</v>
      </c>
    </row>
    <row r="223" spans="1:17" ht="12.75">
      <c r="A223" s="53" t="s">
        <v>301</v>
      </c>
      <c r="B223" s="108">
        <v>2300</v>
      </c>
      <c r="C223" s="128"/>
      <c r="D223" s="126">
        <f>15172.43</f>
        <v>15172.43</v>
      </c>
      <c r="E223" s="126"/>
      <c r="F223" s="246">
        <f t="shared" si="60"/>
        <v>15172.43</v>
      </c>
      <c r="G223" s="207">
        <f>235.51</f>
        <v>235.51</v>
      </c>
      <c r="H223" s="209"/>
      <c r="I223" s="208">
        <f t="shared" si="61"/>
        <v>15407.94</v>
      </c>
      <c r="J223" s="267"/>
      <c r="K223" s="7"/>
      <c r="L223" s="31">
        <f t="shared" si="62"/>
        <v>15407.94</v>
      </c>
      <c r="M223" s="30"/>
      <c r="N223" s="7"/>
      <c r="O223" s="31">
        <f t="shared" si="63"/>
        <v>15407.94</v>
      </c>
      <c r="P223" s="195"/>
      <c r="Q223" s="91">
        <f t="shared" si="64"/>
        <v>15407.94</v>
      </c>
    </row>
    <row r="224" spans="1:17" ht="12.75">
      <c r="A224" s="53" t="s">
        <v>345</v>
      </c>
      <c r="B224" s="108"/>
      <c r="C224" s="128"/>
      <c r="D224" s="126"/>
      <c r="E224" s="126"/>
      <c r="F224" s="246">
        <f t="shared" si="60"/>
        <v>0</v>
      </c>
      <c r="G224" s="207">
        <v>3956.06</v>
      </c>
      <c r="H224" s="209"/>
      <c r="I224" s="208">
        <f t="shared" si="61"/>
        <v>3956.06</v>
      </c>
      <c r="J224" s="267"/>
      <c r="K224" s="7"/>
      <c r="L224" s="31"/>
      <c r="M224" s="30"/>
      <c r="N224" s="7"/>
      <c r="O224" s="31"/>
      <c r="P224" s="195"/>
      <c r="Q224" s="91"/>
    </row>
    <row r="225" spans="1:17" ht="12.75">
      <c r="A225" s="44" t="s">
        <v>104</v>
      </c>
      <c r="B225" s="108"/>
      <c r="C225" s="128"/>
      <c r="D225" s="126">
        <f>1200+150.82</f>
        <v>1350.82</v>
      </c>
      <c r="E225" s="126"/>
      <c r="F225" s="246">
        <f t="shared" si="60"/>
        <v>1350.82</v>
      </c>
      <c r="G225" s="207"/>
      <c r="H225" s="209"/>
      <c r="I225" s="208">
        <f t="shared" si="61"/>
        <v>1350.82</v>
      </c>
      <c r="J225" s="267"/>
      <c r="K225" s="7"/>
      <c r="L225" s="31"/>
      <c r="M225" s="30"/>
      <c r="N225" s="7"/>
      <c r="O225" s="31"/>
      <c r="P225" s="195"/>
      <c r="Q225" s="91"/>
    </row>
    <row r="226" spans="1:17" ht="12.75">
      <c r="A226" s="51" t="s">
        <v>75</v>
      </c>
      <c r="B226" s="112"/>
      <c r="C226" s="140">
        <f>SUM(C228:C238)</f>
        <v>0</v>
      </c>
      <c r="D226" s="141">
        <f>SUM(D228:D238)</f>
        <v>8033.0199999999995</v>
      </c>
      <c r="E226" s="141">
        <f>SUM(E228:E238)</f>
        <v>0</v>
      </c>
      <c r="F226" s="249">
        <f>SUM(F228:F238)</f>
        <v>8033.0199999999995</v>
      </c>
      <c r="G226" s="287">
        <f aca="true" t="shared" si="65" ref="G226:Q226">SUM(G228:G238)</f>
        <v>1072.94</v>
      </c>
      <c r="H226" s="288">
        <f t="shared" si="65"/>
        <v>0</v>
      </c>
      <c r="I226" s="217">
        <f t="shared" si="65"/>
        <v>9105.96</v>
      </c>
      <c r="J226" s="273">
        <f t="shared" si="65"/>
        <v>0</v>
      </c>
      <c r="K226" s="142">
        <f t="shared" si="65"/>
        <v>0</v>
      </c>
      <c r="L226" s="142">
        <f t="shared" si="65"/>
        <v>8033.0199999999995</v>
      </c>
      <c r="M226" s="142">
        <f t="shared" si="65"/>
        <v>0</v>
      </c>
      <c r="N226" s="142">
        <f t="shared" si="65"/>
        <v>0</v>
      </c>
      <c r="O226" s="142">
        <f t="shared" si="65"/>
        <v>8033.0199999999995</v>
      </c>
      <c r="P226" s="142">
        <f t="shared" si="65"/>
        <v>0</v>
      </c>
      <c r="Q226" s="142">
        <f t="shared" si="65"/>
        <v>8033.0199999999995</v>
      </c>
    </row>
    <row r="227" spans="1:17" ht="12.75">
      <c r="A227" s="53" t="s">
        <v>38</v>
      </c>
      <c r="B227" s="108"/>
      <c r="C227" s="128"/>
      <c r="D227" s="126"/>
      <c r="E227" s="126"/>
      <c r="F227" s="246"/>
      <c r="G227" s="207"/>
      <c r="H227" s="209"/>
      <c r="I227" s="208"/>
      <c r="J227" s="267"/>
      <c r="K227" s="7"/>
      <c r="L227" s="31"/>
      <c r="M227" s="30"/>
      <c r="N227" s="7"/>
      <c r="O227" s="31"/>
      <c r="P227" s="195"/>
      <c r="Q227" s="91"/>
    </row>
    <row r="228" spans="1:17" ht="12.75">
      <c r="A228" s="53" t="s">
        <v>292</v>
      </c>
      <c r="B228" s="108">
        <v>5100</v>
      </c>
      <c r="C228" s="128"/>
      <c r="D228" s="126">
        <v>1008.14</v>
      </c>
      <c r="E228" s="126"/>
      <c r="F228" s="246">
        <f aca="true" t="shared" si="66" ref="F228:F238">C228+D228+E228</f>
        <v>1008.14</v>
      </c>
      <c r="G228" s="207"/>
      <c r="H228" s="209"/>
      <c r="I228" s="208">
        <f aca="true" t="shared" si="67" ref="I228:I238">F228+G228+H228</f>
        <v>1008.14</v>
      </c>
      <c r="J228" s="267"/>
      <c r="K228" s="7"/>
      <c r="L228" s="31">
        <f aca="true" t="shared" si="68" ref="L228:L238">I228+J228+K228</f>
        <v>1008.14</v>
      </c>
      <c r="M228" s="30"/>
      <c r="N228" s="7"/>
      <c r="O228" s="31">
        <f aca="true" t="shared" si="69" ref="O228:O238">L228+M228+N228</f>
        <v>1008.14</v>
      </c>
      <c r="P228" s="195"/>
      <c r="Q228" s="91">
        <f t="shared" si="64"/>
        <v>1008.14</v>
      </c>
    </row>
    <row r="229" spans="1:17" ht="12.75">
      <c r="A229" s="53" t="s">
        <v>347</v>
      </c>
      <c r="B229" s="108">
        <v>3800</v>
      </c>
      <c r="C229" s="128"/>
      <c r="D229" s="126"/>
      <c r="E229" s="126"/>
      <c r="F229" s="246">
        <f t="shared" si="66"/>
        <v>0</v>
      </c>
      <c r="G229" s="207">
        <v>1072.94</v>
      </c>
      <c r="H229" s="209"/>
      <c r="I229" s="208">
        <f t="shared" si="67"/>
        <v>1072.94</v>
      </c>
      <c r="J229" s="267"/>
      <c r="K229" s="7"/>
      <c r="L229" s="31"/>
      <c r="M229" s="30"/>
      <c r="N229" s="7"/>
      <c r="O229" s="31"/>
      <c r="P229" s="195"/>
      <c r="Q229" s="91"/>
    </row>
    <row r="230" spans="1:17" ht="12.75">
      <c r="A230" s="53" t="s">
        <v>302</v>
      </c>
      <c r="B230" s="108">
        <v>4000</v>
      </c>
      <c r="C230" s="128"/>
      <c r="D230" s="126">
        <v>2113.87</v>
      </c>
      <c r="E230" s="126"/>
      <c r="F230" s="246">
        <f t="shared" si="66"/>
        <v>2113.87</v>
      </c>
      <c r="G230" s="207"/>
      <c r="H230" s="209"/>
      <c r="I230" s="208">
        <f t="shared" si="67"/>
        <v>2113.87</v>
      </c>
      <c r="J230" s="267"/>
      <c r="K230" s="7"/>
      <c r="L230" s="31">
        <f t="shared" si="68"/>
        <v>2113.87</v>
      </c>
      <c r="M230" s="30"/>
      <c r="N230" s="7"/>
      <c r="O230" s="31">
        <f t="shared" si="69"/>
        <v>2113.87</v>
      </c>
      <c r="P230" s="195"/>
      <c r="Q230" s="91">
        <f t="shared" si="64"/>
        <v>2113.87</v>
      </c>
    </row>
    <row r="231" spans="1:17" ht="12.75">
      <c r="A231" s="44" t="s">
        <v>297</v>
      </c>
      <c r="B231" s="108">
        <v>2100</v>
      </c>
      <c r="C231" s="128"/>
      <c r="D231" s="126">
        <f>1192.04</f>
        <v>1192.04</v>
      </c>
      <c r="E231" s="126"/>
      <c r="F231" s="246">
        <f t="shared" si="66"/>
        <v>1192.04</v>
      </c>
      <c r="G231" s="207"/>
      <c r="H231" s="209"/>
      <c r="I231" s="208">
        <f t="shared" si="67"/>
        <v>1192.04</v>
      </c>
      <c r="J231" s="267"/>
      <c r="K231" s="7"/>
      <c r="L231" s="31">
        <f t="shared" si="68"/>
        <v>1192.04</v>
      </c>
      <c r="M231" s="30"/>
      <c r="N231" s="7"/>
      <c r="O231" s="31">
        <f t="shared" si="69"/>
        <v>1192.04</v>
      </c>
      <c r="P231" s="195"/>
      <c r="Q231" s="91">
        <f t="shared" si="64"/>
        <v>1192.04</v>
      </c>
    </row>
    <row r="232" spans="1:17" ht="12.75">
      <c r="A232" s="53" t="s">
        <v>303</v>
      </c>
      <c r="B232" s="108">
        <v>4100</v>
      </c>
      <c r="C232" s="128"/>
      <c r="D232" s="126">
        <v>1732.88</v>
      </c>
      <c r="E232" s="126"/>
      <c r="F232" s="246">
        <f t="shared" si="66"/>
        <v>1732.88</v>
      </c>
      <c r="G232" s="207"/>
      <c r="H232" s="209"/>
      <c r="I232" s="208">
        <f t="shared" si="67"/>
        <v>1732.88</v>
      </c>
      <c r="J232" s="267"/>
      <c r="K232" s="7"/>
      <c r="L232" s="31">
        <f t="shared" si="68"/>
        <v>1732.88</v>
      </c>
      <c r="M232" s="30"/>
      <c r="N232" s="7"/>
      <c r="O232" s="31">
        <f t="shared" si="69"/>
        <v>1732.88</v>
      </c>
      <c r="P232" s="195"/>
      <c r="Q232" s="91">
        <f t="shared" si="64"/>
        <v>1732.88</v>
      </c>
    </row>
    <row r="233" spans="1:17" ht="12.75">
      <c r="A233" s="53" t="s">
        <v>299</v>
      </c>
      <c r="B233" s="108">
        <v>2200</v>
      </c>
      <c r="C233" s="128"/>
      <c r="D233" s="126">
        <v>2.37</v>
      </c>
      <c r="E233" s="126"/>
      <c r="F233" s="246">
        <f t="shared" si="66"/>
        <v>2.37</v>
      </c>
      <c r="G233" s="207"/>
      <c r="H233" s="209"/>
      <c r="I233" s="208">
        <f t="shared" si="67"/>
        <v>2.37</v>
      </c>
      <c r="J233" s="267"/>
      <c r="K233" s="7"/>
      <c r="L233" s="31">
        <f t="shared" si="68"/>
        <v>2.37</v>
      </c>
      <c r="M233" s="30"/>
      <c r="N233" s="7"/>
      <c r="O233" s="31">
        <f t="shared" si="69"/>
        <v>2.37</v>
      </c>
      <c r="P233" s="195"/>
      <c r="Q233" s="91">
        <f t="shared" si="64"/>
        <v>2.37</v>
      </c>
    </row>
    <row r="234" spans="1:17" ht="12.75">
      <c r="A234" s="53" t="s">
        <v>304</v>
      </c>
      <c r="B234" s="108">
        <v>4200</v>
      </c>
      <c r="C234" s="128"/>
      <c r="D234" s="126">
        <f>1970.55</f>
        <v>1970.55</v>
      </c>
      <c r="E234" s="126"/>
      <c r="F234" s="246">
        <f t="shared" si="66"/>
        <v>1970.55</v>
      </c>
      <c r="G234" s="207"/>
      <c r="H234" s="209"/>
      <c r="I234" s="208">
        <f t="shared" si="67"/>
        <v>1970.55</v>
      </c>
      <c r="J234" s="267"/>
      <c r="K234" s="7"/>
      <c r="L234" s="31">
        <f t="shared" si="68"/>
        <v>1970.55</v>
      </c>
      <c r="M234" s="30"/>
      <c r="N234" s="7"/>
      <c r="O234" s="31">
        <f t="shared" si="69"/>
        <v>1970.55</v>
      </c>
      <c r="P234" s="195"/>
      <c r="Q234" s="91">
        <f t="shared" si="64"/>
        <v>1970.55</v>
      </c>
    </row>
    <row r="235" spans="1:17" ht="12.75">
      <c r="A235" s="54" t="s">
        <v>301</v>
      </c>
      <c r="B235" s="111">
        <v>2300</v>
      </c>
      <c r="C235" s="138"/>
      <c r="D235" s="139">
        <v>13.17</v>
      </c>
      <c r="E235" s="139"/>
      <c r="F235" s="250">
        <f t="shared" si="66"/>
        <v>13.17</v>
      </c>
      <c r="G235" s="218"/>
      <c r="H235" s="219"/>
      <c r="I235" s="220">
        <f t="shared" si="67"/>
        <v>13.17</v>
      </c>
      <c r="J235" s="267"/>
      <c r="K235" s="7"/>
      <c r="L235" s="31">
        <f t="shared" si="68"/>
        <v>13.17</v>
      </c>
      <c r="M235" s="30"/>
      <c r="N235" s="7"/>
      <c r="O235" s="31">
        <f t="shared" si="69"/>
        <v>13.17</v>
      </c>
      <c r="P235" s="195"/>
      <c r="Q235" s="91">
        <f t="shared" si="64"/>
        <v>13.17</v>
      </c>
    </row>
    <row r="236" spans="1:17" ht="12.75" hidden="1">
      <c r="A236" s="44" t="s">
        <v>92</v>
      </c>
      <c r="B236" s="108"/>
      <c r="C236" s="128"/>
      <c r="D236" s="126"/>
      <c r="E236" s="126"/>
      <c r="F236" s="246">
        <f t="shared" si="66"/>
        <v>0</v>
      </c>
      <c r="G236" s="207"/>
      <c r="H236" s="209"/>
      <c r="I236" s="208">
        <f t="shared" si="67"/>
        <v>0</v>
      </c>
      <c r="J236" s="267"/>
      <c r="K236" s="7"/>
      <c r="L236" s="31">
        <f t="shared" si="68"/>
        <v>0</v>
      </c>
      <c r="M236" s="30"/>
      <c r="N236" s="7"/>
      <c r="O236" s="31">
        <f t="shared" si="69"/>
        <v>0</v>
      </c>
      <c r="P236" s="195"/>
      <c r="Q236" s="91">
        <f t="shared" si="64"/>
        <v>0</v>
      </c>
    </row>
    <row r="237" spans="1:17" ht="12.75" hidden="1">
      <c r="A237" s="44" t="s">
        <v>76</v>
      </c>
      <c r="B237" s="108"/>
      <c r="C237" s="128"/>
      <c r="D237" s="126"/>
      <c r="E237" s="126"/>
      <c r="F237" s="246">
        <f t="shared" si="66"/>
        <v>0</v>
      </c>
      <c r="G237" s="207"/>
      <c r="H237" s="209"/>
      <c r="I237" s="208">
        <f t="shared" si="67"/>
        <v>0</v>
      </c>
      <c r="J237" s="267"/>
      <c r="K237" s="7"/>
      <c r="L237" s="31">
        <f t="shared" si="68"/>
        <v>0</v>
      </c>
      <c r="M237" s="30"/>
      <c r="N237" s="7"/>
      <c r="O237" s="31">
        <f t="shared" si="69"/>
        <v>0</v>
      </c>
      <c r="P237" s="195"/>
      <c r="Q237" s="91">
        <f t="shared" si="64"/>
        <v>0</v>
      </c>
    </row>
    <row r="238" spans="1:17" ht="12.75" hidden="1">
      <c r="A238" s="47" t="s">
        <v>104</v>
      </c>
      <c r="B238" s="111"/>
      <c r="C238" s="138"/>
      <c r="D238" s="139"/>
      <c r="E238" s="139"/>
      <c r="F238" s="250">
        <f t="shared" si="66"/>
        <v>0</v>
      </c>
      <c r="G238" s="218"/>
      <c r="H238" s="219"/>
      <c r="I238" s="220">
        <f t="shared" si="67"/>
        <v>0</v>
      </c>
      <c r="J238" s="12"/>
      <c r="K238" s="10"/>
      <c r="L238" s="35">
        <f t="shared" si="68"/>
        <v>0</v>
      </c>
      <c r="M238" s="34"/>
      <c r="N238" s="10"/>
      <c r="O238" s="35">
        <f t="shared" si="69"/>
        <v>0</v>
      </c>
      <c r="P238" s="200"/>
      <c r="Q238" s="93">
        <f t="shared" si="64"/>
        <v>0</v>
      </c>
    </row>
    <row r="239" spans="1:17" ht="12.75">
      <c r="A239" s="41" t="s">
        <v>108</v>
      </c>
      <c r="B239" s="112"/>
      <c r="C239" s="123">
        <f>C240+C277</f>
        <v>334369.7</v>
      </c>
      <c r="D239" s="124">
        <f>D240+D277</f>
        <v>4392672.67</v>
      </c>
      <c r="E239" s="124">
        <f>E240+E277</f>
        <v>727.7</v>
      </c>
      <c r="F239" s="245">
        <f>F240+F277</f>
        <v>4727770.07</v>
      </c>
      <c r="G239" s="204">
        <f aca="true" t="shared" si="70" ref="G239:Q239">G240+G277</f>
        <v>65552.09999999999</v>
      </c>
      <c r="H239" s="205">
        <f t="shared" si="70"/>
        <v>0</v>
      </c>
      <c r="I239" s="206">
        <f t="shared" si="70"/>
        <v>4793322.17</v>
      </c>
      <c r="J239" s="268">
        <f t="shared" si="70"/>
        <v>0</v>
      </c>
      <c r="K239" s="125">
        <f t="shared" si="70"/>
        <v>0</v>
      </c>
      <c r="L239" s="125">
        <f t="shared" si="70"/>
        <v>4792104.24</v>
      </c>
      <c r="M239" s="125">
        <f t="shared" si="70"/>
        <v>0</v>
      </c>
      <c r="N239" s="125">
        <f t="shared" si="70"/>
        <v>0</v>
      </c>
      <c r="O239" s="125">
        <f t="shared" si="70"/>
        <v>4792104.24</v>
      </c>
      <c r="P239" s="125">
        <f t="shared" si="70"/>
        <v>0</v>
      </c>
      <c r="Q239" s="125">
        <f t="shared" si="70"/>
        <v>4792104.24</v>
      </c>
    </row>
    <row r="240" spans="1:17" ht="12.75">
      <c r="A240" s="50" t="s">
        <v>69</v>
      </c>
      <c r="B240" s="112"/>
      <c r="C240" s="135">
        <f>SUM(C242:C276)</f>
        <v>334369.7</v>
      </c>
      <c r="D240" s="136">
        <f>SUM(D242:D276)</f>
        <v>4392672.67</v>
      </c>
      <c r="E240" s="136">
        <f>SUM(E242:E276)</f>
        <v>727.7</v>
      </c>
      <c r="F240" s="190">
        <f>SUM(F242:F276)</f>
        <v>4727770.07</v>
      </c>
      <c r="G240" s="214">
        <f aca="true" t="shared" si="71" ref="G240:Q240">SUM(G242:G276)</f>
        <v>65222.09999999999</v>
      </c>
      <c r="H240" s="215">
        <f t="shared" si="71"/>
        <v>0</v>
      </c>
      <c r="I240" s="216">
        <f t="shared" si="71"/>
        <v>4792992.17</v>
      </c>
      <c r="J240" s="274">
        <f t="shared" si="71"/>
        <v>0</v>
      </c>
      <c r="K240" s="137">
        <f t="shared" si="71"/>
        <v>0</v>
      </c>
      <c r="L240" s="137">
        <f t="shared" si="71"/>
        <v>4791774.24</v>
      </c>
      <c r="M240" s="137">
        <f t="shared" si="71"/>
        <v>0</v>
      </c>
      <c r="N240" s="137">
        <f t="shared" si="71"/>
        <v>0</v>
      </c>
      <c r="O240" s="137">
        <f t="shared" si="71"/>
        <v>4791774.24</v>
      </c>
      <c r="P240" s="137">
        <f t="shared" si="71"/>
        <v>0</v>
      </c>
      <c r="Q240" s="137">
        <f t="shared" si="71"/>
        <v>4791774.24</v>
      </c>
    </row>
    <row r="241" spans="1:17" ht="12.75">
      <c r="A241" s="42" t="s">
        <v>38</v>
      </c>
      <c r="B241" s="108"/>
      <c r="C241" s="128"/>
      <c r="D241" s="126"/>
      <c r="E241" s="126"/>
      <c r="F241" s="246"/>
      <c r="G241" s="207"/>
      <c r="H241" s="209"/>
      <c r="I241" s="208"/>
      <c r="J241" s="267"/>
      <c r="K241" s="7"/>
      <c r="L241" s="31"/>
      <c r="M241" s="30"/>
      <c r="N241" s="7"/>
      <c r="O241" s="31"/>
      <c r="P241" s="195"/>
      <c r="Q241" s="91"/>
    </row>
    <row r="242" spans="1:17" ht="12.75">
      <c r="A242" s="48" t="s">
        <v>100</v>
      </c>
      <c r="B242" s="108"/>
      <c r="C242" s="128">
        <v>311920.7</v>
      </c>
      <c r="D242" s="126">
        <v>4740.5</v>
      </c>
      <c r="E242" s="126">
        <v>727.7</v>
      </c>
      <c r="F242" s="246">
        <f>C242+D242+E242</f>
        <v>317388.9</v>
      </c>
      <c r="G242" s="207">
        <f>500+131+2975.3+160</f>
        <v>3766.3</v>
      </c>
      <c r="H242" s="209"/>
      <c r="I242" s="208">
        <f>F242+G242+H242</f>
        <v>321155.2</v>
      </c>
      <c r="J242" s="267"/>
      <c r="K242" s="7"/>
      <c r="L242" s="31">
        <f>I242+J242+K242</f>
        <v>321155.2</v>
      </c>
      <c r="M242" s="30"/>
      <c r="N242" s="7"/>
      <c r="O242" s="31">
        <f>L242+M242+N242</f>
        <v>321155.2</v>
      </c>
      <c r="P242" s="195"/>
      <c r="Q242" s="91">
        <f t="shared" si="64"/>
        <v>321155.2</v>
      </c>
    </row>
    <row r="243" spans="1:17" ht="12.75">
      <c r="A243" s="48" t="s">
        <v>109</v>
      </c>
      <c r="B243" s="108"/>
      <c r="C243" s="128"/>
      <c r="D243" s="126"/>
      <c r="E243" s="126"/>
      <c r="F243" s="246"/>
      <c r="G243" s="207"/>
      <c r="H243" s="209"/>
      <c r="I243" s="208"/>
      <c r="J243" s="267"/>
      <c r="K243" s="7"/>
      <c r="L243" s="31"/>
      <c r="M243" s="30"/>
      <c r="N243" s="7"/>
      <c r="O243" s="31"/>
      <c r="P243" s="195"/>
      <c r="Q243" s="91"/>
    </row>
    <row r="244" spans="1:17" ht="12.75">
      <c r="A244" s="48" t="s">
        <v>110</v>
      </c>
      <c r="B244" s="108">
        <v>33353</v>
      </c>
      <c r="C244" s="128"/>
      <c r="D244" s="126">
        <v>1485863</v>
      </c>
      <c r="E244" s="126"/>
      <c r="F244" s="246">
        <f aca="true" t="shared" si="72" ref="F244:F276">C244+D244+E244</f>
        <v>1485863</v>
      </c>
      <c r="G244" s="207"/>
      <c r="H244" s="209"/>
      <c r="I244" s="208">
        <f aca="true" t="shared" si="73" ref="I244:I276">F244+G244+H244</f>
        <v>1485863</v>
      </c>
      <c r="J244" s="267"/>
      <c r="K244" s="7"/>
      <c r="L244" s="31">
        <f aca="true" t="shared" si="74" ref="L244:L276">I244+J244+K244</f>
        <v>1485863</v>
      </c>
      <c r="M244" s="30"/>
      <c r="N244" s="7"/>
      <c r="O244" s="31">
        <f aca="true" t="shared" si="75" ref="O244:O276">L244+M244+N244</f>
        <v>1485863</v>
      </c>
      <c r="P244" s="195"/>
      <c r="Q244" s="91">
        <f t="shared" si="64"/>
        <v>1485863</v>
      </c>
    </row>
    <row r="245" spans="1:17" ht="12.75">
      <c r="A245" s="48" t="s">
        <v>111</v>
      </c>
      <c r="B245" s="108">
        <v>33155</v>
      </c>
      <c r="C245" s="128"/>
      <c r="D245" s="126">
        <v>47490</v>
      </c>
      <c r="E245" s="126"/>
      <c r="F245" s="246">
        <f t="shared" si="72"/>
        <v>47490</v>
      </c>
      <c r="G245" s="207">
        <v>47220</v>
      </c>
      <c r="H245" s="209"/>
      <c r="I245" s="208">
        <f t="shared" si="73"/>
        <v>94710</v>
      </c>
      <c r="J245" s="267"/>
      <c r="K245" s="7"/>
      <c r="L245" s="31">
        <f t="shared" si="74"/>
        <v>94710</v>
      </c>
      <c r="M245" s="30"/>
      <c r="N245" s="7"/>
      <c r="O245" s="31">
        <f t="shared" si="75"/>
        <v>94710</v>
      </c>
      <c r="P245" s="195"/>
      <c r="Q245" s="91">
        <f t="shared" si="64"/>
        <v>94710</v>
      </c>
    </row>
    <row r="246" spans="1:17" ht="12.75">
      <c r="A246" s="48" t="s">
        <v>112</v>
      </c>
      <c r="B246" s="108">
        <v>33353</v>
      </c>
      <c r="C246" s="128"/>
      <c r="D246" s="143">
        <v>2837348</v>
      </c>
      <c r="E246" s="126"/>
      <c r="F246" s="246">
        <f t="shared" si="72"/>
        <v>2837348</v>
      </c>
      <c r="G246" s="207"/>
      <c r="H246" s="209"/>
      <c r="I246" s="208">
        <f t="shared" si="73"/>
        <v>2837348</v>
      </c>
      <c r="J246" s="267"/>
      <c r="K246" s="7"/>
      <c r="L246" s="31">
        <f t="shared" si="74"/>
        <v>2837348</v>
      </c>
      <c r="M246" s="30"/>
      <c r="N246" s="7"/>
      <c r="O246" s="31">
        <f t="shared" si="75"/>
        <v>2837348</v>
      </c>
      <c r="P246" s="195"/>
      <c r="Q246" s="91">
        <f t="shared" si="64"/>
        <v>2837348</v>
      </c>
    </row>
    <row r="247" spans="1:17" ht="12.75">
      <c r="A247" s="48" t="s">
        <v>113</v>
      </c>
      <c r="B247" s="108">
        <v>33122</v>
      </c>
      <c r="C247" s="128"/>
      <c r="D247" s="126">
        <f>135.8+20.7</f>
        <v>156.5</v>
      </c>
      <c r="E247" s="126"/>
      <c r="F247" s="246">
        <f t="shared" si="72"/>
        <v>156.5</v>
      </c>
      <c r="G247" s="207"/>
      <c r="H247" s="209"/>
      <c r="I247" s="208">
        <f t="shared" si="73"/>
        <v>156.5</v>
      </c>
      <c r="J247" s="267"/>
      <c r="K247" s="7"/>
      <c r="L247" s="31">
        <f t="shared" si="74"/>
        <v>156.5</v>
      </c>
      <c r="M247" s="30"/>
      <c r="N247" s="7"/>
      <c r="O247" s="31">
        <f t="shared" si="75"/>
        <v>156.5</v>
      </c>
      <c r="P247" s="195"/>
      <c r="Q247" s="91">
        <f t="shared" si="64"/>
        <v>156.5</v>
      </c>
    </row>
    <row r="248" spans="1:17" ht="12.75" hidden="1">
      <c r="A248" s="48" t="s">
        <v>114</v>
      </c>
      <c r="B248" s="108"/>
      <c r="C248" s="128"/>
      <c r="D248" s="126"/>
      <c r="E248" s="126"/>
      <c r="F248" s="246">
        <f t="shared" si="72"/>
        <v>0</v>
      </c>
      <c r="G248" s="207"/>
      <c r="H248" s="209"/>
      <c r="I248" s="208">
        <f t="shared" si="73"/>
        <v>0</v>
      </c>
      <c r="J248" s="267"/>
      <c r="K248" s="7"/>
      <c r="L248" s="31">
        <f t="shared" si="74"/>
        <v>0</v>
      </c>
      <c r="M248" s="30"/>
      <c r="N248" s="7"/>
      <c r="O248" s="31">
        <f t="shared" si="75"/>
        <v>0</v>
      </c>
      <c r="P248" s="195"/>
      <c r="Q248" s="91">
        <f t="shared" si="64"/>
        <v>0</v>
      </c>
    </row>
    <row r="249" spans="1:17" ht="12.75" hidden="1">
      <c r="A249" s="48" t="s">
        <v>221</v>
      </c>
      <c r="B249" s="108"/>
      <c r="C249" s="128"/>
      <c r="D249" s="126"/>
      <c r="E249" s="126"/>
      <c r="F249" s="246">
        <f t="shared" si="72"/>
        <v>0</v>
      </c>
      <c r="G249" s="207"/>
      <c r="H249" s="209"/>
      <c r="I249" s="208">
        <f t="shared" si="73"/>
        <v>0</v>
      </c>
      <c r="J249" s="267"/>
      <c r="K249" s="7"/>
      <c r="L249" s="31">
        <f t="shared" si="74"/>
        <v>0</v>
      </c>
      <c r="M249" s="30"/>
      <c r="N249" s="7"/>
      <c r="O249" s="31">
        <f t="shared" si="75"/>
        <v>0</v>
      </c>
      <c r="P249" s="195"/>
      <c r="Q249" s="91">
        <f t="shared" si="64"/>
        <v>0</v>
      </c>
    </row>
    <row r="250" spans="1:17" ht="12.75" hidden="1">
      <c r="A250" s="48" t="s">
        <v>115</v>
      </c>
      <c r="B250" s="108"/>
      <c r="C250" s="128"/>
      <c r="D250" s="126"/>
      <c r="E250" s="126"/>
      <c r="F250" s="246">
        <f t="shared" si="72"/>
        <v>0</v>
      </c>
      <c r="G250" s="207"/>
      <c r="H250" s="209"/>
      <c r="I250" s="208">
        <f t="shared" si="73"/>
        <v>0</v>
      </c>
      <c r="J250" s="267"/>
      <c r="K250" s="7"/>
      <c r="L250" s="31">
        <f t="shared" si="74"/>
        <v>0</v>
      </c>
      <c r="M250" s="30"/>
      <c r="N250" s="7"/>
      <c r="O250" s="31">
        <f t="shared" si="75"/>
        <v>0</v>
      </c>
      <c r="P250" s="195"/>
      <c r="Q250" s="91">
        <f t="shared" si="64"/>
        <v>0</v>
      </c>
    </row>
    <row r="251" spans="1:17" ht="12.75" hidden="1">
      <c r="A251" s="48" t="s">
        <v>182</v>
      </c>
      <c r="B251" s="108"/>
      <c r="C251" s="128"/>
      <c r="D251" s="126"/>
      <c r="E251" s="126"/>
      <c r="F251" s="246">
        <f t="shared" si="72"/>
        <v>0</v>
      </c>
      <c r="G251" s="207"/>
      <c r="H251" s="209"/>
      <c r="I251" s="208">
        <f t="shared" si="73"/>
        <v>0</v>
      </c>
      <c r="J251" s="267"/>
      <c r="K251" s="7"/>
      <c r="L251" s="31">
        <f t="shared" si="74"/>
        <v>0</v>
      </c>
      <c r="M251" s="30"/>
      <c r="N251" s="7"/>
      <c r="O251" s="31">
        <f t="shared" si="75"/>
        <v>0</v>
      </c>
      <c r="P251" s="195"/>
      <c r="Q251" s="91">
        <f t="shared" si="64"/>
        <v>0</v>
      </c>
    </row>
    <row r="252" spans="1:17" ht="12.75">
      <c r="A252" s="48" t="s">
        <v>268</v>
      </c>
      <c r="B252" s="108">
        <v>33215</v>
      </c>
      <c r="C252" s="128"/>
      <c r="D252" s="126">
        <v>5743.51</v>
      </c>
      <c r="E252" s="126"/>
      <c r="F252" s="246">
        <f t="shared" si="72"/>
        <v>5743.51</v>
      </c>
      <c r="G252" s="207"/>
      <c r="H252" s="209"/>
      <c r="I252" s="208">
        <f t="shared" si="73"/>
        <v>5743.51</v>
      </c>
      <c r="J252" s="267"/>
      <c r="K252" s="7"/>
      <c r="L252" s="31">
        <f t="shared" si="74"/>
        <v>5743.51</v>
      </c>
      <c r="M252" s="30"/>
      <c r="N252" s="7"/>
      <c r="O252" s="31">
        <f t="shared" si="75"/>
        <v>5743.51</v>
      </c>
      <c r="P252" s="195"/>
      <c r="Q252" s="91">
        <f t="shared" si="64"/>
        <v>5743.51</v>
      </c>
    </row>
    <row r="253" spans="1:17" ht="12.75">
      <c r="A253" s="48" t="s">
        <v>269</v>
      </c>
      <c r="B253" s="108">
        <v>33457</v>
      </c>
      <c r="C253" s="128"/>
      <c r="D253" s="126">
        <f>434.52+9017.38</f>
        <v>9451.9</v>
      </c>
      <c r="E253" s="126"/>
      <c r="F253" s="246">
        <f t="shared" si="72"/>
        <v>9451.9</v>
      </c>
      <c r="G253" s="207"/>
      <c r="H253" s="209"/>
      <c r="I253" s="208">
        <f t="shared" si="73"/>
        <v>9451.9</v>
      </c>
      <c r="J253" s="267"/>
      <c r="K253" s="7"/>
      <c r="L253" s="31">
        <f t="shared" si="74"/>
        <v>9451.9</v>
      </c>
      <c r="M253" s="30"/>
      <c r="N253" s="7"/>
      <c r="O253" s="31">
        <f t="shared" si="75"/>
        <v>9451.9</v>
      </c>
      <c r="P253" s="195"/>
      <c r="Q253" s="91">
        <f t="shared" si="64"/>
        <v>9451.9</v>
      </c>
    </row>
    <row r="254" spans="1:17" ht="12.75">
      <c r="A254" s="48" t="s">
        <v>350</v>
      </c>
      <c r="B254" s="108">
        <v>33049</v>
      </c>
      <c r="C254" s="128"/>
      <c r="D254" s="126"/>
      <c r="E254" s="126"/>
      <c r="F254" s="246">
        <f t="shared" si="72"/>
        <v>0</v>
      </c>
      <c r="G254" s="207">
        <v>13685</v>
      </c>
      <c r="H254" s="209"/>
      <c r="I254" s="208">
        <f t="shared" si="73"/>
        <v>13685</v>
      </c>
      <c r="J254" s="267"/>
      <c r="K254" s="7"/>
      <c r="L254" s="31">
        <f t="shared" si="74"/>
        <v>13685</v>
      </c>
      <c r="M254" s="30"/>
      <c r="N254" s="7"/>
      <c r="O254" s="31">
        <f t="shared" si="75"/>
        <v>13685</v>
      </c>
      <c r="P254" s="195"/>
      <c r="Q254" s="91">
        <f t="shared" si="64"/>
        <v>13685</v>
      </c>
    </row>
    <row r="255" spans="1:17" ht="12.75" hidden="1">
      <c r="A255" s="66" t="s">
        <v>214</v>
      </c>
      <c r="B255" s="108"/>
      <c r="C255" s="128"/>
      <c r="D255" s="126"/>
      <c r="E255" s="126"/>
      <c r="F255" s="246">
        <f t="shared" si="72"/>
        <v>0</v>
      </c>
      <c r="G255" s="207"/>
      <c r="H255" s="209"/>
      <c r="I255" s="208">
        <f t="shared" si="73"/>
        <v>0</v>
      </c>
      <c r="J255" s="267"/>
      <c r="K255" s="7"/>
      <c r="L255" s="31">
        <f t="shared" si="74"/>
        <v>0</v>
      </c>
      <c r="M255" s="30"/>
      <c r="N255" s="7"/>
      <c r="O255" s="31">
        <f t="shared" si="75"/>
        <v>0</v>
      </c>
      <c r="P255" s="195"/>
      <c r="Q255" s="91">
        <f t="shared" si="64"/>
        <v>0</v>
      </c>
    </row>
    <row r="256" spans="1:17" ht="12.75" hidden="1">
      <c r="A256" s="66" t="s">
        <v>227</v>
      </c>
      <c r="B256" s="108">
        <v>33034</v>
      </c>
      <c r="C256" s="128"/>
      <c r="D256" s="126"/>
      <c r="E256" s="126"/>
      <c r="F256" s="246">
        <f t="shared" si="72"/>
        <v>0</v>
      </c>
      <c r="G256" s="207"/>
      <c r="H256" s="209"/>
      <c r="I256" s="208">
        <f t="shared" si="73"/>
        <v>0</v>
      </c>
      <c r="J256" s="267"/>
      <c r="K256" s="7"/>
      <c r="L256" s="31">
        <f t="shared" si="74"/>
        <v>0</v>
      </c>
      <c r="M256" s="30"/>
      <c r="N256" s="7"/>
      <c r="O256" s="31">
        <f t="shared" si="75"/>
        <v>0</v>
      </c>
      <c r="P256" s="195"/>
      <c r="Q256" s="91">
        <f t="shared" si="64"/>
        <v>0</v>
      </c>
    </row>
    <row r="257" spans="1:17" ht="12.75">
      <c r="A257" s="48" t="s">
        <v>213</v>
      </c>
      <c r="B257" s="108">
        <v>33435</v>
      </c>
      <c r="C257" s="128"/>
      <c r="D257" s="126">
        <v>770.09</v>
      </c>
      <c r="E257" s="126"/>
      <c r="F257" s="246">
        <f t="shared" si="72"/>
        <v>770.09</v>
      </c>
      <c r="G257" s="207"/>
      <c r="H257" s="209"/>
      <c r="I257" s="208">
        <f t="shared" si="73"/>
        <v>770.09</v>
      </c>
      <c r="J257" s="267"/>
      <c r="K257" s="7"/>
      <c r="L257" s="31">
        <f t="shared" si="74"/>
        <v>770.09</v>
      </c>
      <c r="M257" s="30"/>
      <c r="N257" s="7"/>
      <c r="O257" s="31">
        <f t="shared" si="75"/>
        <v>770.09</v>
      </c>
      <c r="P257" s="195"/>
      <c r="Q257" s="91">
        <f t="shared" si="64"/>
        <v>770.09</v>
      </c>
    </row>
    <row r="258" spans="1:17" ht="12.75">
      <c r="A258" s="66" t="s">
        <v>351</v>
      </c>
      <c r="B258" s="108">
        <v>33024</v>
      </c>
      <c r="C258" s="128"/>
      <c r="D258" s="126"/>
      <c r="E258" s="126"/>
      <c r="F258" s="246">
        <f t="shared" si="72"/>
        <v>0</v>
      </c>
      <c r="G258" s="207">
        <v>74.74</v>
      </c>
      <c r="H258" s="209"/>
      <c r="I258" s="208">
        <f t="shared" si="73"/>
        <v>74.74</v>
      </c>
      <c r="J258" s="267"/>
      <c r="K258" s="7"/>
      <c r="L258" s="31">
        <f t="shared" si="74"/>
        <v>74.74</v>
      </c>
      <c r="M258" s="30"/>
      <c r="N258" s="7"/>
      <c r="O258" s="31">
        <f t="shared" si="75"/>
        <v>74.74</v>
      </c>
      <c r="P258" s="195"/>
      <c r="Q258" s="91">
        <f t="shared" si="64"/>
        <v>74.74</v>
      </c>
    </row>
    <row r="259" spans="1:17" ht="12.75">
      <c r="A259" s="66" t="s">
        <v>226</v>
      </c>
      <c r="B259" s="108">
        <v>33018</v>
      </c>
      <c r="C259" s="128"/>
      <c r="D259" s="126">
        <v>952.82</v>
      </c>
      <c r="E259" s="126"/>
      <c r="F259" s="246">
        <f t="shared" si="72"/>
        <v>952.82</v>
      </c>
      <c r="G259" s="207"/>
      <c r="H259" s="209"/>
      <c r="I259" s="208">
        <f t="shared" si="73"/>
        <v>952.82</v>
      </c>
      <c r="J259" s="267"/>
      <c r="K259" s="7"/>
      <c r="L259" s="31">
        <f t="shared" si="74"/>
        <v>952.82</v>
      </c>
      <c r="M259" s="30"/>
      <c r="N259" s="7"/>
      <c r="O259" s="31">
        <f t="shared" si="75"/>
        <v>952.82</v>
      </c>
      <c r="P259" s="195"/>
      <c r="Q259" s="91">
        <f t="shared" si="64"/>
        <v>952.82</v>
      </c>
    </row>
    <row r="260" spans="1:17" ht="12.75" hidden="1">
      <c r="A260" s="46" t="s">
        <v>228</v>
      </c>
      <c r="B260" s="108"/>
      <c r="C260" s="128"/>
      <c r="D260" s="126"/>
      <c r="E260" s="126"/>
      <c r="F260" s="246">
        <f t="shared" si="72"/>
        <v>0</v>
      </c>
      <c r="G260" s="207"/>
      <c r="H260" s="209"/>
      <c r="I260" s="208">
        <f t="shared" si="73"/>
        <v>0</v>
      </c>
      <c r="J260" s="267"/>
      <c r="K260" s="7"/>
      <c r="L260" s="31">
        <f t="shared" si="74"/>
        <v>0</v>
      </c>
      <c r="M260" s="30"/>
      <c r="N260" s="7"/>
      <c r="O260" s="31">
        <f t="shared" si="75"/>
        <v>0</v>
      </c>
      <c r="P260" s="195"/>
      <c r="Q260" s="91">
        <f t="shared" si="64"/>
        <v>0</v>
      </c>
    </row>
    <row r="261" spans="1:17" ht="12.75">
      <c r="A261" s="66" t="s">
        <v>270</v>
      </c>
      <c r="B261" s="108">
        <v>33160</v>
      </c>
      <c r="C261" s="128"/>
      <c r="D261" s="126">
        <v>190.2</v>
      </c>
      <c r="E261" s="126"/>
      <c r="F261" s="246">
        <f t="shared" si="72"/>
        <v>190.2</v>
      </c>
      <c r="G261" s="207"/>
      <c r="H261" s="209"/>
      <c r="I261" s="208">
        <f t="shared" si="73"/>
        <v>190.2</v>
      </c>
      <c r="J261" s="267"/>
      <c r="K261" s="7"/>
      <c r="L261" s="31">
        <f t="shared" si="74"/>
        <v>190.2</v>
      </c>
      <c r="M261" s="30"/>
      <c r="N261" s="7"/>
      <c r="O261" s="31">
        <f t="shared" si="75"/>
        <v>190.2</v>
      </c>
      <c r="P261" s="195"/>
      <c r="Q261" s="91">
        <f t="shared" si="64"/>
        <v>190.2</v>
      </c>
    </row>
    <row r="262" spans="1:17" ht="12.75" hidden="1">
      <c r="A262" s="48" t="s">
        <v>196</v>
      </c>
      <c r="B262" s="108"/>
      <c r="C262" s="128"/>
      <c r="D262" s="126"/>
      <c r="E262" s="126"/>
      <c r="F262" s="246">
        <f t="shared" si="72"/>
        <v>0</v>
      </c>
      <c r="G262" s="207"/>
      <c r="H262" s="209"/>
      <c r="I262" s="208">
        <f t="shared" si="73"/>
        <v>0</v>
      </c>
      <c r="J262" s="267"/>
      <c r="K262" s="7"/>
      <c r="L262" s="31">
        <f t="shared" si="74"/>
        <v>0</v>
      </c>
      <c r="M262" s="30"/>
      <c r="N262" s="7"/>
      <c r="O262" s="31">
        <f t="shared" si="75"/>
        <v>0</v>
      </c>
      <c r="P262" s="195"/>
      <c r="Q262" s="91">
        <f t="shared" si="64"/>
        <v>0</v>
      </c>
    </row>
    <row r="263" spans="1:17" ht="12.75" hidden="1">
      <c r="A263" s="66" t="s">
        <v>175</v>
      </c>
      <c r="B263" s="108"/>
      <c r="C263" s="128"/>
      <c r="D263" s="126"/>
      <c r="E263" s="126"/>
      <c r="F263" s="246">
        <f t="shared" si="72"/>
        <v>0</v>
      </c>
      <c r="G263" s="207"/>
      <c r="H263" s="209"/>
      <c r="I263" s="208">
        <f t="shared" si="73"/>
        <v>0</v>
      </c>
      <c r="J263" s="267"/>
      <c r="K263" s="7"/>
      <c r="L263" s="31">
        <f t="shared" si="74"/>
        <v>0</v>
      </c>
      <c r="M263" s="30"/>
      <c r="N263" s="7"/>
      <c r="O263" s="31">
        <f t="shared" si="75"/>
        <v>0</v>
      </c>
      <c r="P263" s="195"/>
      <c r="Q263" s="91">
        <f t="shared" si="64"/>
        <v>0</v>
      </c>
    </row>
    <row r="264" spans="1:17" ht="12.75" hidden="1">
      <c r="A264" s="66" t="s">
        <v>195</v>
      </c>
      <c r="B264" s="108"/>
      <c r="C264" s="128"/>
      <c r="D264" s="126"/>
      <c r="E264" s="126"/>
      <c r="F264" s="246">
        <f t="shared" si="72"/>
        <v>0</v>
      </c>
      <c r="G264" s="207"/>
      <c r="H264" s="209"/>
      <c r="I264" s="208">
        <f t="shared" si="73"/>
        <v>0</v>
      </c>
      <c r="J264" s="267"/>
      <c r="K264" s="7"/>
      <c r="L264" s="31">
        <f t="shared" si="74"/>
        <v>0</v>
      </c>
      <c r="M264" s="30"/>
      <c r="N264" s="7"/>
      <c r="O264" s="31">
        <f t="shared" si="75"/>
        <v>0</v>
      </c>
      <c r="P264" s="195"/>
      <c r="Q264" s="91">
        <f t="shared" si="64"/>
        <v>0</v>
      </c>
    </row>
    <row r="265" spans="1:17" ht="12.75">
      <c r="A265" s="48" t="s">
        <v>116</v>
      </c>
      <c r="B265" s="108">
        <v>33025</v>
      </c>
      <c r="C265" s="128"/>
      <c r="D265" s="126"/>
      <c r="E265" s="126"/>
      <c r="F265" s="246">
        <f t="shared" si="72"/>
        <v>0</v>
      </c>
      <c r="G265" s="207">
        <f>392+130</f>
        <v>522</v>
      </c>
      <c r="H265" s="209"/>
      <c r="I265" s="208">
        <f t="shared" si="73"/>
        <v>522</v>
      </c>
      <c r="J265" s="267"/>
      <c r="K265" s="7"/>
      <c r="L265" s="31">
        <f t="shared" si="74"/>
        <v>522</v>
      </c>
      <c r="M265" s="30"/>
      <c r="N265" s="7"/>
      <c r="O265" s="31">
        <f t="shared" si="75"/>
        <v>522</v>
      </c>
      <c r="P265" s="195"/>
      <c r="Q265" s="91">
        <f t="shared" si="64"/>
        <v>522</v>
      </c>
    </row>
    <row r="266" spans="1:17" ht="12.75">
      <c r="A266" s="48" t="s">
        <v>239</v>
      </c>
      <c r="B266" s="108">
        <v>33038</v>
      </c>
      <c r="C266" s="128"/>
      <c r="D266" s="126"/>
      <c r="E266" s="126"/>
      <c r="F266" s="246">
        <f t="shared" si="72"/>
        <v>0</v>
      </c>
      <c r="G266" s="207">
        <v>1172.43</v>
      </c>
      <c r="H266" s="209"/>
      <c r="I266" s="208">
        <f t="shared" si="73"/>
        <v>1172.43</v>
      </c>
      <c r="J266" s="267"/>
      <c r="K266" s="7"/>
      <c r="L266" s="31">
        <f t="shared" si="74"/>
        <v>1172.43</v>
      </c>
      <c r="M266" s="30"/>
      <c r="N266" s="7"/>
      <c r="O266" s="31">
        <f t="shared" si="75"/>
        <v>1172.43</v>
      </c>
      <c r="P266" s="195"/>
      <c r="Q266" s="91">
        <f t="shared" si="64"/>
        <v>1172.43</v>
      </c>
    </row>
    <row r="267" spans="1:17" ht="12.75">
      <c r="A267" s="48" t="s">
        <v>342</v>
      </c>
      <c r="B267" s="108">
        <v>33043</v>
      </c>
      <c r="C267" s="128"/>
      <c r="D267" s="126"/>
      <c r="E267" s="126"/>
      <c r="F267" s="246">
        <f t="shared" si="72"/>
        <v>0</v>
      </c>
      <c r="G267" s="207">
        <v>114.83</v>
      </c>
      <c r="H267" s="209"/>
      <c r="I267" s="208">
        <f t="shared" si="73"/>
        <v>114.83</v>
      </c>
      <c r="J267" s="267"/>
      <c r="K267" s="7"/>
      <c r="L267" s="31"/>
      <c r="M267" s="30"/>
      <c r="N267" s="7"/>
      <c r="O267" s="31"/>
      <c r="P267" s="195"/>
      <c r="Q267" s="91"/>
    </row>
    <row r="268" spans="1:17" ht="12.75">
      <c r="A268" s="48" t="s">
        <v>343</v>
      </c>
      <c r="B268" s="108">
        <v>33044</v>
      </c>
      <c r="C268" s="128"/>
      <c r="D268" s="126"/>
      <c r="E268" s="126"/>
      <c r="F268" s="246">
        <f t="shared" si="72"/>
        <v>0</v>
      </c>
      <c r="G268" s="207">
        <v>716.26</v>
      </c>
      <c r="H268" s="209"/>
      <c r="I268" s="208">
        <f t="shared" si="73"/>
        <v>716.26</v>
      </c>
      <c r="J268" s="267"/>
      <c r="K268" s="7"/>
      <c r="L268" s="31"/>
      <c r="M268" s="30"/>
      <c r="N268" s="7"/>
      <c r="O268" s="31"/>
      <c r="P268" s="195"/>
      <c r="Q268" s="91"/>
    </row>
    <row r="269" spans="1:17" ht="12.75" hidden="1">
      <c r="A269" s="48" t="s">
        <v>187</v>
      </c>
      <c r="B269" s="108">
        <v>33123</v>
      </c>
      <c r="C269" s="128"/>
      <c r="D269" s="126"/>
      <c r="E269" s="126"/>
      <c r="F269" s="246">
        <f t="shared" si="72"/>
        <v>0</v>
      </c>
      <c r="G269" s="207"/>
      <c r="H269" s="209"/>
      <c r="I269" s="208">
        <f t="shared" si="73"/>
        <v>0</v>
      </c>
      <c r="J269" s="267"/>
      <c r="K269" s="7"/>
      <c r="L269" s="31">
        <f t="shared" si="74"/>
        <v>0</v>
      </c>
      <c r="M269" s="30"/>
      <c r="N269" s="7"/>
      <c r="O269" s="31">
        <f t="shared" si="75"/>
        <v>0</v>
      </c>
      <c r="P269" s="195"/>
      <c r="Q269" s="91">
        <f t="shared" si="64"/>
        <v>0</v>
      </c>
    </row>
    <row r="270" spans="1:17" ht="12.75" hidden="1">
      <c r="A270" s="48" t="s">
        <v>238</v>
      </c>
      <c r="B270" s="108">
        <v>33031</v>
      </c>
      <c r="C270" s="128"/>
      <c r="D270" s="126"/>
      <c r="E270" s="126"/>
      <c r="F270" s="246">
        <f t="shared" si="72"/>
        <v>0</v>
      </c>
      <c r="G270" s="207"/>
      <c r="H270" s="209"/>
      <c r="I270" s="208">
        <f t="shared" si="73"/>
        <v>0</v>
      </c>
      <c r="J270" s="267"/>
      <c r="K270" s="7"/>
      <c r="L270" s="31"/>
      <c r="M270" s="30"/>
      <c r="N270" s="7"/>
      <c r="O270" s="31"/>
      <c r="P270" s="195"/>
      <c r="Q270" s="91"/>
    </row>
    <row r="271" spans="1:17" ht="12.75" hidden="1">
      <c r="A271" s="48" t="s">
        <v>191</v>
      </c>
      <c r="B271" s="108">
        <v>33019</v>
      </c>
      <c r="C271" s="128"/>
      <c r="D271" s="126"/>
      <c r="E271" s="126"/>
      <c r="F271" s="246">
        <f t="shared" si="72"/>
        <v>0</v>
      </c>
      <c r="G271" s="207"/>
      <c r="H271" s="209"/>
      <c r="I271" s="208">
        <f t="shared" si="73"/>
        <v>0</v>
      </c>
      <c r="J271" s="267"/>
      <c r="K271" s="7"/>
      <c r="L271" s="31">
        <f t="shared" si="74"/>
        <v>0</v>
      </c>
      <c r="M271" s="30"/>
      <c r="N271" s="7"/>
      <c r="O271" s="31">
        <f t="shared" si="75"/>
        <v>0</v>
      </c>
      <c r="P271" s="195"/>
      <c r="Q271" s="91">
        <f t="shared" si="64"/>
        <v>0</v>
      </c>
    </row>
    <row r="272" spans="1:17" ht="12.75" hidden="1">
      <c r="A272" s="66" t="s">
        <v>193</v>
      </c>
      <c r="B272" s="108">
        <v>33019</v>
      </c>
      <c r="C272" s="128"/>
      <c r="D272" s="126"/>
      <c r="E272" s="126"/>
      <c r="F272" s="246">
        <f t="shared" si="72"/>
        <v>0</v>
      </c>
      <c r="G272" s="207"/>
      <c r="H272" s="209"/>
      <c r="I272" s="208">
        <f t="shared" si="73"/>
        <v>0</v>
      </c>
      <c r="J272" s="267"/>
      <c r="K272" s="7"/>
      <c r="L272" s="31">
        <f t="shared" si="74"/>
        <v>0</v>
      </c>
      <c r="M272" s="30"/>
      <c r="N272" s="7"/>
      <c r="O272" s="31">
        <f t="shared" si="75"/>
        <v>0</v>
      </c>
      <c r="P272" s="195"/>
      <c r="Q272" s="91">
        <f t="shared" si="64"/>
        <v>0</v>
      </c>
    </row>
    <row r="273" spans="1:17" ht="12.75">
      <c r="A273" s="48" t="s">
        <v>341</v>
      </c>
      <c r="B273" s="108">
        <v>33019</v>
      </c>
      <c r="C273" s="128"/>
      <c r="D273" s="126"/>
      <c r="E273" s="126"/>
      <c r="F273" s="246">
        <f t="shared" si="72"/>
        <v>0</v>
      </c>
      <c r="G273" s="207">
        <v>386.84</v>
      </c>
      <c r="H273" s="209"/>
      <c r="I273" s="208">
        <f t="shared" si="73"/>
        <v>386.84</v>
      </c>
      <c r="J273" s="267"/>
      <c r="K273" s="7"/>
      <c r="L273" s="31"/>
      <c r="M273" s="30"/>
      <c r="N273" s="7"/>
      <c r="O273" s="31"/>
      <c r="P273" s="195"/>
      <c r="Q273" s="91"/>
    </row>
    <row r="274" spans="1:17" ht="12.75">
      <c r="A274" s="48" t="s">
        <v>117</v>
      </c>
      <c r="B274" s="108"/>
      <c r="C274" s="128"/>
      <c r="D274" s="126">
        <v>350</v>
      </c>
      <c r="E274" s="126"/>
      <c r="F274" s="246">
        <f t="shared" si="72"/>
        <v>350</v>
      </c>
      <c r="G274" s="207"/>
      <c r="H274" s="209"/>
      <c r="I274" s="208">
        <f t="shared" si="73"/>
        <v>350</v>
      </c>
      <c r="J274" s="267"/>
      <c r="K274" s="7"/>
      <c r="L274" s="31">
        <f t="shared" si="74"/>
        <v>350</v>
      </c>
      <c r="M274" s="30"/>
      <c r="N274" s="7"/>
      <c r="O274" s="31">
        <f t="shared" si="75"/>
        <v>350</v>
      </c>
      <c r="P274" s="195"/>
      <c r="Q274" s="91">
        <f t="shared" si="64"/>
        <v>350</v>
      </c>
    </row>
    <row r="275" spans="1:17" ht="12.75">
      <c r="A275" s="48" t="s">
        <v>103</v>
      </c>
      <c r="B275" s="108"/>
      <c r="C275" s="128"/>
      <c r="D275" s="126">
        <f>349.37+2955.98</f>
        <v>3305.35</v>
      </c>
      <c r="E275" s="126"/>
      <c r="F275" s="246">
        <f t="shared" si="72"/>
        <v>3305.35</v>
      </c>
      <c r="G275" s="207">
        <v>-770</v>
      </c>
      <c r="H275" s="209"/>
      <c r="I275" s="208">
        <f t="shared" si="73"/>
        <v>2535.35</v>
      </c>
      <c r="J275" s="267"/>
      <c r="K275" s="7"/>
      <c r="L275" s="31">
        <f t="shared" si="74"/>
        <v>2535.35</v>
      </c>
      <c r="M275" s="39"/>
      <c r="N275" s="7"/>
      <c r="O275" s="31">
        <f t="shared" si="75"/>
        <v>2535.35</v>
      </c>
      <c r="P275" s="195"/>
      <c r="Q275" s="91">
        <f t="shared" si="64"/>
        <v>2535.35</v>
      </c>
    </row>
    <row r="276" spans="1:17" ht="12.75">
      <c r="A276" s="48" t="s">
        <v>72</v>
      </c>
      <c r="B276" s="108"/>
      <c r="C276" s="128">
        <v>22449</v>
      </c>
      <c r="D276" s="126">
        <f>-4740.5+100+951.3</f>
        <v>-3689.2</v>
      </c>
      <c r="E276" s="126"/>
      <c r="F276" s="246">
        <f t="shared" si="72"/>
        <v>18759.8</v>
      </c>
      <c r="G276" s="207">
        <f>-191-2975.3+500+1000</f>
        <v>-1666.3000000000002</v>
      </c>
      <c r="H276" s="209"/>
      <c r="I276" s="208">
        <f t="shared" si="73"/>
        <v>17093.5</v>
      </c>
      <c r="J276" s="267"/>
      <c r="K276" s="7"/>
      <c r="L276" s="31">
        <f t="shared" si="74"/>
        <v>17093.5</v>
      </c>
      <c r="M276" s="39"/>
      <c r="N276" s="7"/>
      <c r="O276" s="31">
        <f t="shared" si="75"/>
        <v>17093.5</v>
      </c>
      <c r="P276" s="195"/>
      <c r="Q276" s="91">
        <f t="shared" si="64"/>
        <v>17093.5</v>
      </c>
    </row>
    <row r="277" spans="1:17" ht="12.75">
      <c r="A277" s="51" t="s">
        <v>75</v>
      </c>
      <c r="B277" s="112"/>
      <c r="C277" s="140">
        <f aca="true" t="shared" si="76" ref="C277:Q277">SUM(C279:C284)</f>
        <v>0</v>
      </c>
      <c r="D277" s="141">
        <f t="shared" si="76"/>
        <v>0</v>
      </c>
      <c r="E277" s="141"/>
      <c r="F277" s="249">
        <f t="shared" si="76"/>
        <v>0</v>
      </c>
      <c r="G277" s="287">
        <f t="shared" si="76"/>
        <v>330</v>
      </c>
      <c r="H277" s="288">
        <f t="shared" si="76"/>
        <v>0</v>
      </c>
      <c r="I277" s="217">
        <f t="shared" si="76"/>
        <v>330</v>
      </c>
      <c r="J277" s="273">
        <f t="shared" si="76"/>
        <v>0</v>
      </c>
      <c r="K277" s="142">
        <f t="shared" si="76"/>
        <v>0</v>
      </c>
      <c r="L277" s="142">
        <f t="shared" si="76"/>
        <v>330</v>
      </c>
      <c r="M277" s="142">
        <f t="shared" si="76"/>
        <v>0</v>
      </c>
      <c r="N277" s="142">
        <f t="shared" si="76"/>
        <v>0</v>
      </c>
      <c r="O277" s="142">
        <f t="shared" si="76"/>
        <v>330</v>
      </c>
      <c r="P277" s="142">
        <f t="shared" si="76"/>
        <v>0</v>
      </c>
      <c r="Q277" s="142">
        <f t="shared" si="76"/>
        <v>330</v>
      </c>
    </row>
    <row r="278" spans="1:17" ht="12.75">
      <c r="A278" s="46" t="s">
        <v>38</v>
      </c>
      <c r="B278" s="108"/>
      <c r="C278" s="128"/>
      <c r="D278" s="126"/>
      <c r="E278" s="126"/>
      <c r="F278" s="246"/>
      <c r="G278" s="207"/>
      <c r="H278" s="209"/>
      <c r="I278" s="206"/>
      <c r="J278" s="267"/>
      <c r="K278" s="7"/>
      <c r="L278" s="29"/>
      <c r="M278" s="30"/>
      <c r="N278" s="7"/>
      <c r="O278" s="29"/>
      <c r="P278" s="195"/>
      <c r="Q278" s="91"/>
    </row>
    <row r="279" spans="1:17" ht="12.75">
      <c r="A279" s="55" t="s">
        <v>118</v>
      </c>
      <c r="B279" s="111"/>
      <c r="C279" s="138"/>
      <c r="D279" s="139"/>
      <c r="E279" s="139"/>
      <c r="F279" s="250">
        <f aca="true" t="shared" si="77" ref="F279:F284">C279+D279+E279</f>
        <v>0</v>
      </c>
      <c r="G279" s="218">
        <f>270+60</f>
        <v>330</v>
      </c>
      <c r="H279" s="219"/>
      <c r="I279" s="220">
        <f aca="true" t="shared" si="78" ref="I279:I284">F279+G279+H279</f>
        <v>330</v>
      </c>
      <c r="J279" s="267"/>
      <c r="K279" s="7"/>
      <c r="L279" s="31">
        <f aca="true" t="shared" si="79" ref="L279:L284">I279+J279+K279</f>
        <v>330</v>
      </c>
      <c r="M279" s="30"/>
      <c r="N279" s="7"/>
      <c r="O279" s="31">
        <f aca="true" t="shared" si="80" ref="O279:O284">L279+M279+N279</f>
        <v>330</v>
      </c>
      <c r="P279" s="195"/>
      <c r="Q279" s="91">
        <f t="shared" si="64"/>
        <v>330</v>
      </c>
    </row>
    <row r="280" spans="1:17" ht="12.75" hidden="1">
      <c r="A280" s="48" t="s">
        <v>92</v>
      </c>
      <c r="B280" s="108"/>
      <c r="C280" s="128"/>
      <c r="D280" s="126"/>
      <c r="E280" s="126"/>
      <c r="F280" s="246">
        <f t="shared" si="77"/>
        <v>0</v>
      </c>
      <c r="G280" s="207"/>
      <c r="H280" s="209"/>
      <c r="I280" s="208">
        <f t="shared" si="78"/>
        <v>0</v>
      </c>
      <c r="J280" s="267"/>
      <c r="K280" s="7"/>
      <c r="L280" s="31">
        <f t="shared" si="79"/>
        <v>0</v>
      </c>
      <c r="M280" s="30"/>
      <c r="N280" s="7"/>
      <c r="O280" s="31">
        <f t="shared" si="80"/>
        <v>0</v>
      </c>
      <c r="P280" s="195"/>
      <c r="Q280" s="91">
        <f t="shared" si="64"/>
        <v>0</v>
      </c>
    </row>
    <row r="281" spans="1:17" ht="12.75" hidden="1">
      <c r="A281" s="48" t="s">
        <v>119</v>
      </c>
      <c r="B281" s="108"/>
      <c r="C281" s="128"/>
      <c r="D281" s="126"/>
      <c r="E281" s="126"/>
      <c r="F281" s="246">
        <f t="shared" si="77"/>
        <v>0</v>
      </c>
      <c r="G281" s="207"/>
      <c r="H281" s="209"/>
      <c r="I281" s="208">
        <f t="shared" si="78"/>
        <v>0</v>
      </c>
      <c r="J281" s="267"/>
      <c r="K281" s="7"/>
      <c r="L281" s="31">
        <f t="shared" si="79"/>
        <v>0</v>
      </c>
      <c r="M281" s="30"/>
      <c r="N281" s="7"/>
      <c r="O281" s="31">
        <f t="shared" si="80"/>
        <v>0</v>
      </c>
      <c r="P281" s="195"/>
      <c r="Q281" s="91">
        <f t="shared" si="64"/>
        <v>0</v>
      </c>
    </row>
    <row r="282" spans="1:17" ht="12.75" hidden="1">
      <c r="A282" s="66" t="s">
        <v>193</v>
      </c>
      <c r="B282" s="108">
        <v>33910</v>
      </c>
      <c r="C282" s="128"/>
      <c r="D282" s="126"/>
      <c r="E282" s="126"/>
      <c r="F282" s="246">
        <f t="shared" si="77"/>
        <v>0</v>
      </c>
      <c r="G282" s="207"/>
      <c r="H282" s="209"/>
      <c r="I282" s="208">
        <f t="shared" si="78"/>
        <v>0</v>
      </c>
      <c r="J282" s="267"/>
      <c r="K282" s="7"/>
      <c r="L282" s="31">
        <f t="shared" si="79"/>
        <v>0</v>
      </c>
      <c r="M282" s="30"/>
      <c r="N282" s="7"/>
      <c r="O282" s="31">
        <f t="shared" si="80"/>
        <v>0</v>
      </c>
      <c r="P282" s="195"/>
      <c r="Q282" s="91">
        <f t="shared" si="64"/>
        <v>0</v>
      </c>
    </row>
    <row r="283" spans="1:17" ht="12.75" hidden="1">
      <c r="A283" s="48" t="s">
        <v>76</v>
      </c>
      <c r="B283" s="108"/>
      <c r="C283" s="128"/>
      <c r="D283" s="126"/>
      <c r="E283" s="126"/>
      <c r="F283" s="246">
        <f t="shared" si="77"/>
        <v>0</v>
      </c>
      <c r="G283" s="207"/>
      <c r="H283" s="209"/>
      <c r="I283" s="208">
        <f t="shared" si="78"/>
        <v>0</v>
      </c>
      <c r="J283" s="267"/>
      <c r="K283" s="9"/>
      <c r="L283" s="31">
        <f t="shared" si="79"/>
        <v>0</v>
      </c>
      <c r="M283" s="30"/>
      <c r="N283" s="7"/>
      <c r="O283" s="31">
        <f t="shared" si="80"/>
        <v>0</v>
      </c>
      <c r="P283" s="195"/>
      <c r="Q283" s="91">
        <f>O283+P283</f>
        <v>0</v>
      </c>
    </row>
    <row r="284" spans="1:17" ht="12.75" hidden="1">
      <c r="A284" s="55" t="s">
        <v>103</v>
      </c>
      <c r="B284" s="111"/>
      <c r="C284" s="138"/>
      <c r="D284" s="139"/>
      <c r="E284" s="139"/>
      <c r="F284" s="250">
        <f t="shared" si="77"/>
        <v>0</v>
      </c>
      <c r="G284" s="218"/>
      <c r="H284" s="219"/>
      <c r="I284" s="220">
        <f t="shared" si="78"/>
        <v>0</v>
      </c>
      <c r="J284" s="12"/>
      <c r="K284" s="78"/>
      <c r="L284" s="35">
        <f t="shared" si="79"/>
        <v>0</v>
      </c>
      <c r="M284" s="34"/>
      <c r="N284" s="10"/>
      <c r="O284" s="35">
        <f t="shared" si="80"/>
        <v>0</v>
      </c>
      <c r="P284" s="200"/>
      <c r="Q284" s="93">
        <f>O284+P284</f>
        <v>0</v>
      </c>
    </row>
    <row r="285" spans="1:17" ht="12.75">
      <c r="A285" s="41" t="s">
        <v>120</v>
      </c>
      <c r="B285" s="112"/>
      <c r="C285" s="123">
        <f>C286+C297</f>
        <v>456945.5</v>
      </c>
      <c r="D285" s="124">
        <f>D286+D297</f>
        <v>3693.72</v>
      </c>
      <c r="E285" s="124">
        <f>E286+E297</f>
        <v>0</v>
      </c>
      <c r="F285" s="245">
        <f>F286+F297</f>
        <v>460639.22000000003</v>
      </c>
      <c r="G285" s="204">
        <f aca="true" t="shared" si="81" ref="G285:Q285">G286+G297</f>
        <v>1166.3799999999999</v>
      </c>
      <c r="H285" s="205">
        <f t="shared" si="81"/>
        <v>0</v>
      </c>
      <c r="I285" s="206">
        <f t="shared" si="81"/>
        <v>461805.60000000003</v>
      </c>
      <c r="J285" s="268">
        <f t="shared" si="81"/>
        <v>0</v>
      </c>
      <c r="K285" s="125">
        <f t="shared" si="81"/>
        <v>0</v>
      </c>
      <c r="L285" s="125">
        <f t="shared" si="81"/>
        <v>411563.60000000003</v>
      </c>
      <c r="M285" s="125">
        <f t="shared" si="81"/>
        <v>0</v>
      </c>
      <c r="N285" s="125">
        <f t="shared" si="81"/>
        <v>0</v>
      </c>
      <c r="O285" s="125">
        <f t="shared" si="81"/>
        <v>411563.60000000003</v>
      </c>
      <c r="P285" s="125">
        <f t="shared" si="81"/>
        <v>0</v>
      </c>
      <c r="Q285" s="125">
        <f t="shared" si="81"/>
        <v>411563.60000000003</v>
      </c>
    </row>
    <row r="286" spans="1:17" ht="12.75">
      <c r="A286" s="50" t="s">
        <v>69</v>
      </c>
      <c r="B286" s="112"/>
      <c r="C286" s="135">
        <f>SUM(C288:C296)</f>
        <v>456945.5</v>
      </c>
      <c r="D286" s="136">
        <f>SUM(D288:D296)</f>
        <v>3059.08</v>
      </c>
      <c r="E286" s="136">
        <f>SUM(E288:E296)</f>
        <v>0</v>
      </c>
      <c r="F286" s="190">
        <f>SUM(F288:F296)</f>
        <v>460004.58</v>
      </c>
      <c r="G286" s="214">
        <f aca="true" t="shared" si="82" ref="G286:Q286">SUM(G288:G296)</f>
        <v>832.6299999999999</v>
      </c>
      <c r="H286" s="215">
        <f t="shared" si="82"/>
        <v>0</v>
      </c>
      <c r="I286" s="216">
        <f t="shared" si="82"/>
        <v>460837.21</v>
      </c>
      <c r="J286" s="274">
        <f t="shared" si="82"/>
        <v>0</v>
      </c>
      <c r="K286" s="137">
        <f t="shared" si="82"/>
        <v>0</v>
      </c>
      <c r="L286" s="137">
        <f t="shared" si="82"/>
        <v>410837.21</v>
      </c>
      <c r="M286" s="137">
        <f t="shared" si="82"/>
        <v>0</v>
      </c>
      <c r="N286" s="137">
        <f t="shared" si="82"/>
        <v>0</v>
      </c>
      <c r="O286" s="137">
        <f t="shared" si="82"/>
        <v>410837.21</v>
      </c>
      <c r="P286" s="137">
        <f t="shared" si="82"/>
        <v>0</v>
      </c>
      <c r="Q286" s="137">
        <f t="shared" si="82"/>
        <v>410837.21</v>
      </c>
    </row>
    <row r="287" spans="1:17" ht="12.75">
      <c r="A287" s="46" t="s">
        <v>38</v>
      </c>
      <c r="B287" s="108"/>
      <c r="C287" s="128"/>
      <c r="D287" s="126"/>
      <c r="E287" s="126"/>
      <c r="F287" s="245"/>
      <c r="G287" s="207"/>
      <c r="H287" s="209"/>
      <c r="I287" s="206"/>
      <c r="J287" s="267"/>
      <c r="K287" s="7"/>
      <c r="L287" s="29"/>
      <c r="M287" s="30"/>
      <c r="N287" s="7"/>
      <c r="O287" s="29"/>
      <c r="P287" s="195"/>
      <c r="Q287" s="91"/>
    </row>
    <row r="288" spans="1:17" ht="12.75">
      <c r="A288" s="43" t="s">
        <v>100</v>
      </c>
      <c r="B288" s="108"/>
      <c r="C288" s="128">
        <v>217926</v>
      </c>
      <c r="D288" s="126">
        <f>1000</f>
        <v>1000</v>
      </c>
      <c r="E288" s="126"/>
      <c r="F288" s="246">
        <f aca="true" t="shared" si="83" ref="F288:F296">C288+D288+E288</f>
        <v>218926</v>
      </c>
      <c r="G288" s="207"/>
      <c r="H288" s="209"/>
      <c r="I288" s="208">
        <f aca="true" t="shared" si="84" ref="I288:I296">F288+G288+H288</f>
        <v>218926</v>
      </c>
      <c r="J288" s="267"/>
      <c r="K288" s="7"/>
      <c r="L288" s="31">
        <f aca="true" t="shared" si="85" ref="L288:L296">I288+J288+K288</f>
        <v>218926</v>
      </c>
      <c r="M288" s="30"/>
      <c r="N288" s="7"/>
      <c r="O288" s="31">
        <f aca="true" t="shared" si="86" ref="O288:O296">L288+M288+N288</f>
        <v>218926</v>
      </c>
      <c r="P288" s="195"/>
      <c r="Q288" s="91">
        <f>O288+P288</f>
        <v>218926</v>
      </c>
    </row>
    <row r="289" spans="1:17" ht="13.5" thickBot="1">
      <c r="A289" s="334" t="s">
        <v>87</v>
      </c>
      <c r="B289" s="327"/>
      <c r="C289" s="328">
        <v>176000</v>
      </c>
      <c r="D289" s="329"/>
      <c r="E289" s="329"/>
      <c r="F289" s="330">
        <f t="shared" si="83"/>
        <v>176000</v>
      </c>
      <c r="G289" s="331"/>
      <c r="H289" s="332"/>
      <c r="I289" s="333">
        <f t="shared" si="84"/>
        <v>176000</v>
      </c>
      <c r="J289" s="267"/>
      <c r="K289" s="7"/>
      <c r="L289" s="31">
        <f t="shared" si="85"/>
        <v>176000</v>
      </c>
      <c r="M289" s="30"/>
      <c r="N289" s="7"/>
      <c r="O289" s="31">
        <f t="shared" si="86"/>
        <v>176000</v>
      </c>
      <c r="P289" s="195"/>
      <c r="Q289" s="91">
        <f>O289+P289</f>
        <v>176000</v>
      </c>
    </row>
    <row r="290" spans="1:17" ht="12.75">
      <c r="A290" s="48" t="s">
        <v>252</v>
      </c>
      <c r="B290" s="108"/>
      <c r="C290" s="128">
        <v>50000</v>
      </c>
      <c r="D290" s="126"/>
      <c r="E290" s="126"/>
      <c r="F290" s="246">
        <f t="shared" si="83"/>
        <v>50000</v>
      </c>
      <c r="G290" s="207"/>
      <c r="H290" s="209"/>
      <c r="I290" s="208">
        <f t="shared" si="84"/>
        <v>50000</v>
      </c>
      <c r="J290" s="267"/>
      <c r="K290" s="7"/>
      <c r="L290" s="31"/>
      <c r="M290" s="30"/>
      <c r="N290" s="7"/>
      <c r="O290" s="31"/>
      <c r="P290" s="195"/>
      <c r="Q290" s="91"/>
    </row>
    <row r="291" spans="1:17" ht="12.75">
      <c r="A291" s="48" t="s">
        <v>72</v>
      </c>
      <c r="B291" s="108"/>
      <c r="C291" s="144">
        <v>13019.5</v>
      </c>
      <c r="D291" s="126">
        <f>1705+209</f>
        <v>1914</v>
      </c>
      <c r="E291" s="126"/>
      <c r="F291" s="246">
        <f t="shared" si="83"/>
        <v>14933.5</v>
      </c>
      <c r="G291" s="207"/>
      <c r="H291" s="209"/>
      <c r="I291" s="208">
        <f t="shared" si="84"/>
        <v>14933.5</v>
      </c>
      <c r="J291" s="267"/>
      <c r="K291" s="7"/>
      <c r="L291" s="31">
        <f t="shared" si="85"/>
        <v>14933.5</v>
      </c>
      <c r="M291" s="30"/>
      <c r="N291" s="7"/>
      <c r="O291" s="31">
        <f t="shared" si="86"/>
        <v>14933.5</v>
      </c>
      <c r="P291" s="195"/>
      <c r="Q291" s="91">
        <f aca="true" t="shared" si="87" ref="Q291:Q296">O291+P291</f>
        <v>14933.5</v>
      </c>
    </row>
    <row r="292" spans="1:17" ht="12.75">
      <c r="A292" s="48" t="s">
        <v>104</v>
      </c>
      <c r="B292" s="108"/>
      <c r="C292" s="144"/>
      <c r="D292" s="126">
        <v>145.08</v>
      </c>
      <c r="E292" s="126"/>
      <c r="F292" s="246">
        <f t="shared" si="83"/>
        <v>145.08</v>
      </c>
      <c r="G292" s="207"/>
      <c r="H292" s="209"/>
      <c r="I292" s="208">
        <f t="shared" si="84"/>
        <v>145.08</v>
      </c>
      <c r="J292" s="267"/>
      <c r="K292" s="7"/>
      <c r="L292" s="31">
        <f t="shared" si="85"/>
        <v>145.08</v>
      </c>
      <c r="M292" s="30"/>
      <c r="N292" s="7"/>
      <c r="O292" s="31">
        <f t="shared" si="86"/>
        <v>145.08</v>
      </c>
      <c r="P292" s="195"/>
      <c r="Q292" s="91">
        <f t="shared" si="87"/>
        <v>145.08</v>
      </c>
    </row>
    <row r="293" spans="1:17" ht="12.75">
      <c r="A293" s="48" t="s">
        <v>354</v>
      </c>
      <c r="B293" s="108"/>
      <c r="C293" s="144"/>
      <c r="D293" s="126"/>
      <c r="E293" s="126"/>
      <c r="F293" s="246">
        <f t="shared" si="83"/>
        <v>0</v>
      </c>
      <c r="G293" s="207">
        <v>432.65</v>
      </c>
      <c r="H293" s="209"/>
      <c r="I293" s="208">
        <f t="shared" si="84"/>
        <v>432.65</v>
      </c>
      <c r="J293" s="267"/>
      <c r="K293" s="7"/>
      <c r="L293" s="31">
        <f t="shared" si="85"/>
        <v>432.65</v>
      </c>
      <c r="M293" s="30"/>
      <c r="N293" s="7"/>
      <c r="O293" s="31">
        <f t="shared" si="86"/>
        <v>432.65</v>
      </c>
      <c r="P293" s="195"/>
      <c r="Q293" s="91">
        <f t="shared" si="87"/>
        <v>432.65</v>
      </c>
    </row>
    <row r="294" spans="1:17" ht="12.75">
      <c r="A294" s="48" t="s">
        <v>121</v>
      </c>
      <c r="B294" s="108">
        <v>98335</v>
      </c>
      <c r="C294" s="128"/>
      <c r="D294" s="126"/>
      <c r="E294" s="126"/>
      <c r="F294" s="246">
        <f t="shared" si="83"/>
        <v>0</v>
      </c>
      <c r="G294" s="207">
        <v>163.79</v>
      </c>
      <c r="H294" s="209"/>
      <c r="I294" s="208">
        <f t="shared" si="84"/>
        <v>163.79</v>
      </c>
      <c r="J294" s="267"/>
      <c r="K294" s="7"/>
      <c r="L294" s="31">
        <f t="shared" si="85"/>
        <v>163.79</v>
      </c>
      <c r="M294" s="40"/>
      <c r="N294" s="7"/>
      <c r="O294" s="31">
        <f t="shared" si="86"/>
        <v>163.79</v>
      </c>
      <c r="P294" s="195"/>
      <c r="Q294" s="91">
        <f t="shared" si="87"/>
        <v>163.79</v>
      </c>
    </row>
    <row r="295" spans="1:17" ht="12.75" hidden="1">
      <c r="A295" s="48" t="s">
        <v>122</v>
      </c>
      <c r="B295" s="108"/>
      <c r="C295" s="128"/>
      <c r="D295" s="126"/>
      <c r="E295" s="126"/>
      <c r="F295" s="246">
        <f t="shared" si="83"/>
        <v>0</v>
      </c>
      <c r="G295" s="207"/>
      <c r="H295" s="209"/>
      <c r="I295" s="208">
        <f t="shared" si="84"/>
        <v>0</v>
      </c>
      <c r="J295" s="267"/>
      <c r="K295" s="7"/>
      <c r="L295" s="31">
        <f t="shared" si="85"/>
        <v>0</v>
      </c>
      <c r="M295" s="30"/>
      <c r="N295" s="7"/>
      <c r="O295" s="31">
        <f t="shared" si="86"/>
        <v>0</v>
      </c>
      <c r="P295" s="195"/>
      <c r="Q295" s="91">
        <f t="shared" si="87"/>
        <v>0</v>
      </c>
    </row>
    <row r="296" spans="1:17" ht="12.75">
      <c r="A296" s="48" t="s">
        <v>123</v>
      </c>
      <c r="B296" s="108">
        <v>98297</v>
      </c>
      <c r="C296" s="128"/>
      <c r="D296" s="126"/>
      <c r="E296" s="126"/>
      <c r="F296" s="246">
        <f t="shared" si="83"/>
        <v>0</v>
      </c>
      <c r="G296" s="207">
        <f>142.17+94.02</f>
        <v>236.19</v>
      </c>
      <c r="H296" s="209"/>
      <c r="I296" s="208">
        <f t="shared" si="84"/>
        <v>236.19</v>
      </c>
      <c r="J296" s="267"/>
      <c r="K296" s="7"/>
      <c r="L296" s="31">
        <f t="shared" si="85"/>
        <v>236.19</v>
      </c>
      <c r="M296" s="30"/>
      <c r="N296" s="7"/>
      <c r="O296" s="31">
        <f t="shared" si="86"/>
        <v>236.19</v>
      </c>
      <c r="P296" s="195"/>
      <c r="Q296" s="91">
        <f t="shared" si="87"/>
        <v>236.19</v>
      </c>
    </row>
    <row r="297" spans="1:17" ht="12.75">
      <c r="A297" s="50" t="s">
        <v>75</v>
      </c>
      <c r="B297" s="112"/>
      <c r="C297" s="135">
        <f>SUM(C299:C302)</f>
        <v>0</v>
      </c>
      <c r="D297" s="136">
        <f>SUM(D299:D302)</f>
        <v>634.64</v>
      </c>
      <c r="E297" s="136">
        <f>SUM(E299:E302)</f>
        <v>0</v>
      </c>
      <c r="F297" s="190">
        <f>SUM(F299:F302)</f>
        <v>634.64</v>
      </c>
      <c r="G297" s="214">
        <f aca="true" t="shared" si="88" ref="G297:Q297">SUM(G299:G302)</f>
        <v>333.75</v>
      </c>
      <c r="H297" s="215">
        <f t="shared" si="88"/>
        <v>0</v>
      </c>
      <c r="I297" s="216">
        <f t="shared" si="88"/>
        <v>968.39</v>
      </c>
      <c r="J297" s="274">
        <f t="shared" si="88"/>
        <v>0</v>
      </c>
      <c r="K297" s="137">
        <f t="shared" si="88"/>
        <v>0</v>
      </c>
      <c r="L297" s="137">
        <f t="shared" si="88"/>
        <v>726.39</v>
      </c>
      <c r="M297" s="137">
        <f t="shared" si="88"/>
        <v>0</v>
      </c>
      <c r="N297" s="137">
        <f t="shared" si="88"/>
        <v>0</v>
      </c>
      <c r="O297" s="137">
        <f t="shared" si="88"/>
        <v>726.39</v>
      </c>
      <c r="P297" s="137">
        <f t="shared" si="88"/>
        <v>0</v>
      </c>
      <c r="Q297" s="137">
        <f t="shared" si="88"/>
        <v>726.39</v>
      </c>
    </row>
    <row r="298" spans="1:17" ht="12.75">
      <c r="A298" s="46" t="s">
        <v>38</v>
      </c>
      <c r="B298" s="108"/>
      <c r="C298" s="128"/>
      <c r="D298" s="126"/>
      <c r="E298" s="126"/>
      <c r="F298" s="246"/>
      <c r="G298" s="207"/>
      <c r="H298" s="209"/>
      <c r="I298" s="208"/>
      <c r="J298" s="267"/>
      <c r="K298" s="7"/>
      <c r="L298" s="31"/>
      <c r="M298" s="30"/>
      <c r="N298" s="7"/>
      <c r="O298" s="31"/>
      <c r="P298" s="195"/>
      <c r="Q298" s="91"/>
    </row>
    <row r="299" spans="1:17" ht="12.75">
      <c r="A299" s="48" t="s">
        <v>76</v>
      </c>
      <c r="B299" s="108"/>
      <c r="C299" s="128"/>
      <c r="D299" s="126">
        <v>242</v>
      </c>
      <c r="E299" s="126"/>
      <c r="F299" s="246">
        <f>C299+D299+E299</f>
        <v>242</v>
      </c>
      <c r="G299" s="207"/>
      <c r="H299" s="209"/>
      <c r="I299" s="208">
        <f>F299+G299+H299</f>
        <v>242</v>
      </c>
      <c r="J299" s="267"/>
      <c r="K299" s="7"/>
      <c r="L299" s="31"/>
      <c r="M299" s="30"/>
      <c r="N299" s="7"/>
      <c r="O299" s="31"/>
      <c r="P299" s="195"/>
      <c r="Q299" s="91"/>
    </row>
    <row r="300" spans="1:17" ht="12.75" hidden="1">
      <c r="A300" s="48" t="s">
        <v>118</v>
      </c>
      <c r="B300" s="108"/>
      <c r="C300" s="128"/>
      <c r="D300" s="126"/>
      <c r="E300" s="126"/>
      <c r="F300" s="246">
        <f>C300+D300+E300</f>
        <v>0</v>
      </c>
      <c r="G300" s="207"/>
      <c r="H300" s="209"/>
      <c r="I300" s="208">
        <f>F300+G300+H300</f>
        <v>0</v>
      </c>
      <c r="J300" s="267"/>
      <c r="K300" s="7"/>
      <c r="L300" s="31">
        <f>I300+J300+K300</f>
        <v>0</v>
      </c>
      <c r="M300" s="30"/>
      <c r="N300" s="7"/>
      <c r="O300" s="31">
        <f>L300+M300+N300</f>
        <v>0</v>
      </c>
      <c r="P300" s="195"/>
      <c r="Q300" s="91">
        <f>O300+P300</f>
        <v>0</v>
      </c>
    </row>
    <row r="301" spans="1:17" ht="12.75">
      <c r="A301" s="48" t="s">
        <v>354</v>
      </c>
      <c r="B301" s="108"/>
      <c r="C301" s="128"/>
      <c r="D301" s="126"/>
      <c r="E301" s="126"/>
      <c r="F301" s="246">
        <f>C301+D301+E301</f>
        <v>0</v>
      </c>
      <c r="G301" s="207">
        <v>333.75</v>
      </c>
      <c r="H301" s="209"/>
      <c r="I301" s="208">
        <f>F301+G301+H301</f>
        <v>333.75</v>
      </c>
      <c r="J301" s="12"/>
      <c r="K301" s="12"/>
      <c r="L301" s="35">
        <f>I301+J301+K301</f>
        <v>333.75</v>
      </c>
      <c r="M301" s="34"/>
      <c r="N301" s="10"/>
      <c r="O301" s="35">
        <f>L301+M301+N301</f>
        <v>333.75</v>
      </c>
      <c r="P301" s="200"/>
      <c r="Q301" s="93">
        <f>O301+P301</f>
        <v>333.75</v>
      </c>
    </row>
    <row r="302" spans="1:17" ht="12.75">
      <c r="A302" s="47" t="s">
        <v>104</v>
      </c>
      <c r="B302" s="111"/>
      <c r="C302" s="138"/>
      <c r="D302" s="139">
        <v>392.64</v>
      </c>
      <c r="E302" s="139"/>
      <c r="F302" s="250">
        <f>C302+D302+E302</f>
        <v>392.64</v>
      </c>
      <c r="G302" s="218"/>
      <c r="H302" s="219"/>
      <c r="I302" s="220">
        <f>F302+G302+H302</f>
        <v>392.64</v>
      </c>
      <c r="J302" s="12"/>
      <c r="K302" s="12"/>
      <c r="L302" s="35">
        <f>I302+J302+K302</f>
        <v>392.64</v>
      </c>
      <c r="M302" s="34"/>
      <c r="N302" s="10"/>
      <c r="O302" s="35">
        <f>L302+M302+N302</f>
        <v>392.64</v>
      </c>
      <c r="P302" s="200"/>
      <c r="Q302" s="93">
        <f>O302+P302</f>
        <v>392.64</v>
      </c>
    </row>
    <row r="303" spans="1:17" ht="12.75">
      <c r="A303" s="56" t="s">
        <v>124</v>
      </c>
      <c r="B303" s="113"/>
      <c r="C303" s="129">
        <f>C304+C313</f>
        <v>140239.6</v>
      </c>
      <c r="D303" s="130">
        <f>D304+D313</f>
        <v>730</v>
      </c>
      <c r="E303" s="130">
        <f>E304+E313</f>
        <v>500</v>
      </c>
      <c r="F303" s="247">
        <f>F304+F313</f>
        <v>141469.6</v>
      </c>
      <c r="G303" s="211">
        <f aca="true" t="shared" si="89" ref="G303:Q303">G304+G313</f>
        <v>1986.5</v>
      </c>
      <c r="H303" s="212">
        <f t="shared" si="89"/>
        <v>0</v>
      </c>
      <c r="I303" s="210">
        <f t="shared" si="89"/>
        <v>143456.1</v>
      </c>
      <c r="J303" s="270">
        <f t="shared" si="89"/>
        <v>0</v>
      </c>
      <c r="K303" s="131">
        <f t="shared" si="89"/>
        <v>0</v>
      </c>
      <c r="L303" s="131">
        <f t="shared" si="89"/>
        <v>143456.1</v>
      </c>
      <c r="M303" s="131">
        <f t="shared" si="89"/>
        <v>0</v>
      </c>
      <c r="N303" s="131">
        <f t="shared" si="89"/>
        <v>0</v>
      </c>
      <c r="O303" s="131">
        <f t="shared" si="89"/>
        <v>143456.1</v>
      </c>
      <c r="P303" s="131">
        <f t="shared" si="89"/>
        <v>0</v>
      </c>
      <c r="Q303" s="131">
        <f t="shared" si="89"/>
        <v>143456.1</v>
      </c>
    </row>
    <row r="304" spans="1:17" ht="12.75">
      <c r="A304" s="50" t="s">
        <v>69</v>
      </c>
      <c r="B304" s="112"/>
      <c r="C304" s="135">
        <f>SUM(C306:C312)</f>
        <v>140239.6</v>
      </c>
      <c r="D304" s="136">
        <f>SUM(D306:D312)</f>
        <v>730</v>
      </c>
      <c r="E304" s="136">
        <f>SUM(E306:E312)</f>
        <v>0</v>
      </c>
      <c r="F304" s="190">
        <f>SUM(F306:F312)</f>
        <v>140969.6</v>
      </c>
      <c r="G304" s="214">
        <f aca="true" t="shared" si="90" ref="G304:Q304">SUM(G306:G312)</f>
        <v>1986.5</v>
      </c>
      <c r="H304" s="215">
        <f t="shared" si="90"/>
        <v>0</v>
      </c>
      <c r="I304" s="216">
        <f t="shared" si="90"/>
        <v>142956.1</v>
      </c>
      <c r="J304" s="274">
        <f t="shared" si="90"/>
        <v>0</v>
      </c>
      <c r="K304" s="137">
        <f t="shared" si="90"/>
        <v>0</v>
      </c>
      <c r="L304" s="137">
        <f t="shared" si="90"/>
        <v>142956.1</v>
      </c>
      <c r="M304" s="137">
        <f t="shared" si="90"/>
        <v>0</v>
      </c>
      <c r="N304" s="137">
        <f t="shared" si="90"/>
        <v>0</v>
      </c>
      <c r="O304" s="137">
        <f t="shared" si="90"/>
        <v>142956.1</v>
      </c>
      <c r="P304" s="137">
        <f t="shared" si="90"/>
        <v>0</v>
      </c>
      <c r="Q304" s="137">
        <f t="shared" si="90"/>
        <v>142956.1</v>
      </c>
    </row>
    <row r="305" spans="1:17" ht="12.75">
      <c r="A305" s="46" t="s">
        <v>38</v>
      </c>
      <c r="B305" s="108"/>
      <c r="C305" s="128"/>
      <c r="D305" s="126"/>
      <c r="E305" s="126"/>
      <c r="F305" s="246"/>
      <c r="G305" s="207"/>
      <c r="H305" s="209"/>
      <c r="I305" s="208"/>
      <c r="J305" s="267"/>
      <c r="K305" s="7"/>
      <c r="L305" s="31"/>
      <c r="M305" s="30"/>
      <c r="N305" s="7"/>
      <c r="O305" s="31"/>
      <c r="P305" s="195"/>
      <c r="Q305" s="91"/>
    </row>
    <row r="306" spans="1:17" ht="12.75">
      <c r="A306" s="48" t="s">
        <v>100</v>
      </c>
      <c r="B306" s="108"/>
      <c r="C306" s="128">
        <v>120771.1</v>
      </c>
      <c r="D306" s="126">
        <f>100+300</f>
        <v>400</v>
      </c>
      <c r="E306" s="126"/>
      <c r="F306" s="246">
        <f>C306+D306+E306</f>
        <v>121171.1</v>
      </c>
      <c r="G306" s="207">
        <v>350</v>
      </c>
      <c r="H306" s="209"/>
      <c r="I306" s="208">
        <f>F306+G306+H306</f>
        <v>121521.1</v>
      </c>
      <c r="J306" s="267"/>
      <c r="K306" s="7"/>
      <c r="L306" s="31">
        <f>I306+J306+K306</f>
        <v>121521.1</v>
      </c>
      <c r="M306" s="30"/>
      <c r="N306" s="7"/>
      <c r="O306" s="31">
        <f>L306+M306+N306</f>
        <v>121521.1</v>
      </c>
      <c r="P306" s="195"/>
      <c r="Q306" s="91">
        <f aca="true" t="shared" si="91" ref="Q306:Q312">O306+P306</f>
        <v>121521.1</v>
      </c>
    </row>
    <row r="307" spans="1:17" ht="12.75">
      <c r="A307" s="48" t="s">
        <v>72</v>
      </c>
      <c r="B307" s="108"/>
      <c r="C307" s="128">
        <v>16222.5</v>
      </c>
      <c r="D307" s="126">
        <f>-670-3858+500+130-300</f>
        <v>-4198</v>
      </c>
      <c r="E307" s="126"/>
      <c r="F307" s="246">
        <f aca="true" t="shared" si="92" ref="F307:F312">C307+D307+E307</f>
        <v>12024.5</v>
      </c>
      <c r="G307" s="207">
        <f>291.5</f>
        <v>291.5</v>
      </c>
      <c r="H307" s="209"/>
      <c r="I307" s="208">
        <f aca="true" t="shared" si="93" ref="I307:I312">F307+G307+H307</f>
        <v>12316</v>
      </c>
      <c r="J307" s="267"/>
      <c r="K307" s="7"/>
      <c r="L307" s="31">
        <f aca="true" t="shared" si="94" ref="L307:L312">I307+J307+K307</f>
        <v>12316</v>
      </c>
      <c r="M307" s="30"/>
      <c r="N307" s="7"/>
      <c r="O307" s="31">
        <f aca="true" t="shared" si="95" ref="O307:O312">L307+M307+N307</f>
        <v>12316</v>
      </c>
      <c r="P307" s="195"/>
      <c r="Q307" s="91">
        <f t="shared" si="91"/>
        <v>12316</v>
      </c>
    </row>
    <row r="308" spans="1:17" ht="12.75">
      <c r="A308" s="48" t="s">
        <v>173</v>
      </c>
      <c r="B308" s="108"/>
      <c r="C308" s="128">
        <v>3246</v>
      </c>
      <c r="D308" s="126"/>
      <c r="E308" s="126"/>
      <c r="F308" s="246">
        <f t="shared" si="92"/>
        <v>3246</v>
      </c>
      <c r="G308" s="207"/>
      <c r="H308" s="209"/>
      <c r="I308" s="208">
        <f t="shared" si="93"/>
        <v>3246</v>
      </c>
      <c r="J308" s="267"/>
      <c r="K308" s="7"/>
      <c r="L308" s="31">
        <f t="shared" si="94"/>
        <v>3246</v>
      </c>
      <c r="M308" s="30"/>
      <c r="N308" s="7"/>
      <c r="O308" s="31">
        <f t="shared" si="95"/>
        <v>3246</v>
      </c>
      <c r="P308" s="195"/>
      <c r="Q308" s="91">
        <f t="shared" si="91"/>
        <v>3246</v>
      </c>
    </row>
    <row r="309" spans="1:17" ht="12.75">
      <c r="A309" s="48" t="s">
        <v>88</v>
      </c>
      <c r="B309" s="108"/>
      <c r="C309" s="128"/>
      <c r="D309" s="126">
        <f>670+3858</f>
        <v>4528</v>
      </c>
      <c r="E309" s="126"/>
      <c r="F309" s="246">
        <f t="shared" si="92"/>
        <v>4528</v>
      </c>
      <c r="G309" s="207">
        <v>500</v>
      </c>
      <c r="H309" s="209"/>
      <c r="I309" s="208">
        <f t="shared" si="93"/>
        <v>5028</v>
      </c>
      <c r="J309" s="267"/>
      <c r="K309" s="7"/>
      <c r="L309" s="31">
        <f t="shared" si="94"/>
        <v>5028</v>
      </c>
      <c r="M309" s="30"/>
      <c r="N309" s="7"/>
      <c r="O309" s="31">
        <f t="shared" si="95"/>
        <v>5028</v>
      </c>
      <c r="P309" s="195"/>
      <c r="Q309" s="91">
        <f t="shared" si="91"/>
        <v>5028</v>
      </c>
    </row>
    <row r="310" spans="1:17" ht="12.75">
      <c r="A310" s="48" t="s">
        <v>125</v>
      </c>
      <c r="B310" s="108">
        <v>34070</v>
      </c>
      <c r="C310" s="128"/>
      <c r="D310" s="126"/>
      <c r="E310" s="126"/>
      <c r="F310" s="246">
        <f t="shared" si="92"/>
        <v>0</v>
      </c>
      <c r="G310" s="207">
        <f>92+100+280</f>
        <v>472</v>
      </c>
      <c r="H310" s="209"/>
      <c r="I310" s="208">
        <f t="shared" si="93"/>
        <v>472</v>
      </c>
      <c r="J310" s="267"/>
      <c r="K310" s="7"/>
      <c r="L310" s="31">
        <f t="shared" si="94"/>
        <v>472</v>
      </c>
      <c r="M310" s="30"/>
      <c r="N310" s="7"/>
      <c r="O310" s="31">
        <f t="shared" si="95"/>
        <v>472</v>
      </c>
      <c r="P310" s="195"/>
      <c r="Q310" s="91">
        <f t="shared" si="91"/>
        <v>472</v>
      </c>
    </row>
    <row r="311" spans="1:17" ht="12.75">
      <c r="A311" s="48" t="s">
        <v>126</v>
      </c>
      <c r="B311" s="108">
        <v>34053</v>
      </c>
      <c r="C311" s="128"/>
      <c r="D311" s="126"/>
      <c r="E311" s="126"/>
      <c r="F311" s="246">
        <f t="shared" si="92"/>
        <v>0</v>
      </c>
      <c r="G311" s="207">
        <f>64+277+32</f>
        <v>373</v>
      </c>
      <c r="H311" s="209"/>
      <c r="I311" s="208">
        <f t="shared" si="93"/>
        <v>373</v>
      </c>
      <c r="J311" s="267"/>
      <c r="K311" s="7"/>
      <c r="L311" s="31">
        <f t="shared" si="94"/>
        <v>373</v>
      </c>
      <c r="M311" s="30"/>
      <c r="N311" s="7"/>
      <c r="O311" s="31">
        <f t="shared" si="95"/>
        <v>373</v>
      </c>
      <c r="P311" s="195"/>
      <c r="Q311" s="91">
        <f t="shared" si="91"/>
        <v>373</v>
      </c>
    </row>
    <row r="312" spans="1:17" ht="12.75" hidden="1">
      <c r="A312" s="48" t="s">
        <v>104</v>
      </c>
      <c r="B312" s="108"/>
      <c r="C312" s="128"/>
      <c r="D312" s="126"/>
      <c r="E312" s="126"/>
      <c r="F312" s="246">
        <f t="shared" si="92"/>
        <v>0</v>
      </c>
      <c r="G312" s="207"/>
      <c r="H312" s="209"/>
      <c r="I312" s="208">
        <f t="shared" si="93"/>
        <v>0</v>
      </c>
      <c r="J312" s="267"/>
      <c r="K312" s="7"/>
      <c r="L312" s="31">
        <f t="shared" si="94"/>
        <v>0</v>
      </c>
      <c r="M312" s="30"/>
      <c r="N312" s="7"/>
      <c r="O312" s="31">
        <f t="shared" si="95"/>
        <v>0</v>
      </c>
      <c r="P312" s="195"/>
      <c r="Q312" s="91">
        <f t="shared" si="91"/>
        <v>0</v>
      </c>
    </row>
    <row r="313" spans="1:17" ht="12.75">
      <c r="A313" s="50" t="s">
        <v>75</v>
      </c>
      <c r="B313" s="112"/>
      <c r="C313" s="135">
        <f>SUM(C315:C318)</f>
        <v>0</v>
      </c>
      <c r="D313" s="136">
        <f>SUM(D315:D318)</f>
        <v>0</v>
      </c>
      <c r="E313" s="136">
        <f>SUM(E315:E318)</f>
        <v>500</v>
      </c>
      <c r="F313" s="190">
        <f>SUM(F315:F318)</f>
        <v>500</v>
      </c>
      <c r="G313" s="214">
        <f aca="true" t="shared" si="96" ref="G313:Q313">SUM(G315:G318)</f>
        <v>0</v>
      </c>
      <c r="H313" s="215">
        <f t="shared" si="96"/>
        <v>0</v>
      </c>
      <c r="I313" s="216">
        <f t="shared" si="96"/>
        <v>500</v>
      </c>
      <c r="J313" s="274">
        <f t="shared" si="96"/>
        <v>0</v>
      </c>
      <c r="K313" s="137">
        <f t="shared" si="96"/>
        <v>0</v>
      </c>
      <c r="L313" s="137">
        <f t="shared" si="96"/>
        <v>500</v>
      </c>
      <c r="M313" s="137">
        <f t="shared" si="96"/>
        <v>0</v>
      </c>
      <c r="N313" s="137">
        <f t="shared" si="96"/>
        <v>0</v>
      </c>
      <c r="O313" s="137">
        <f t="shared" si="96"/>
        <v>500</v>
      </c>
      <c r="P313" s="137">
        <f t="shared" si="96"/>
        <v>0</v>
      </c>
      <c r="Q313" s="137">
        <f t="shared" si="96"/>
        <v>500</v>
      </c>
    </row>
    <row r="314" spans="1:17" ht="12.75">
      <c r="A314" s="46" t="s">
        <v>38</v>
      </c>
      <c r="B314" s="108"/>
      <c r="C314" s="128"/>
      <c r="D314" s="126"/>
      <c r="E314" s="126"/>
      <c r="F314" s="246"/>
      <c r="G314" s="207"/>
      <c r="H314" s="209"/>
      <c r="I314" s="208"/>
      <c r="J314" s="267"/>
      <c r="K314" s="7"/>
      <c r="L314" s="31"/>
      <c r="M314" s="30"/>
      <c r="N314" s="7"/>
      <c r="O314" s="31"/>
      <c r="P314" s="195"/>
      <c r="Q314" s="91"/>
    </row>
    <row r="315" spans="1:17" ht="12.75" hidden="1">
      <c r="A315" s="48" t="s">
        <v>126</v>
      </c>
      <c r="B315" s="108">
        <v>34544</v>
      </c>
      <c r="C315" s="128"/>
      <c r="D315" s="126"/>
      <c r="E315" s="126"/>
      <c r="F315" s="246">
        <f>C315+D315+E315</f>
        <v>0</v>
      </c>
      <c r="G315" s="207"/>
      <c r="H315" s="209"/>
      <c r="I315" s="208">
        <f>F315+G315+H315</f>
        <v>0</v>
      </c>
      <c r="J315" s="267"/>
      <c r="K315" s="7"/>
      <c r="L315" s="31">
        <f>I315+J315+K315</f>
        <v>0</v>
      </c>
      <c r="M315" s="30"/>
      <c r="N315" s="7"/>
      <c r="O315" s="31">
        <f>L315+M315+N315</f>
        <v>0</v>
      </c>
      <c r="P315" s="195"/>
      <c r="Q315" s="91">
        <f>O315+P315</f>
        <v>0</v>
      </c>
    </row>
    <row r="316" spans="1:17" ht="12.75" hidden="1">
      <c r="A316" s="82" t="s">
        <v>92</v>
      </c>
      <c r="B316" s="108"/>
      <c r="C316" s="128"/>
      <c r="D316" s="126"/>
      <c r="E316" s="126"/>
      <c r="F316" s="246">
        <f>C316+D316+E316</f>
        <v>0</v>
      </c>
      <c r="G316" s="207"/>
      <c r="H316" s="209"/>
      <c r="I316" s="208">
        <f>F316+G316+H316</f>
        <v>0</v>
      </c>
      <c r="J316" s="267"/>
      <c r="K316" s="7"/>
      <c r="L316" s="31">
        <f>I316+J316+K316</f>
        <v>0</v>
      </c>
      <c r="M316" s="30"/>
      <c r="N316" s="7"/>
      <c r="O316" s="31">
        <f>L316+M316+N316</f>
        <v>0</v>
      </c>
      <c r="P316" s="195"/>
      <c r="Q316" s="91">
        <f>O316+P316</f>
        <v>0</v>
      </c>
    </row>
    <row r="317" spans="1:17" ht="12.75">
      <c r="A317" s="188" t="s">
        <v>76</v>
      </c>
      <c r="B317" s="111"/>
      <c r="C317" s="138"/>
      <c r="D317" s="139"/>
      <c r="E317" s="139">
        <v>500</v>
      </c>
      <c r="F317" s="250">
        <f>C317+D317+E317</f>
        <v>500</v>
      </c>
      <c r="G317" s="218"/>
      <c r="H317" s="219"/>
      <c r="I317" s="220">
        <f>F317+G317+H317</f>
        <v>500</v>
      </c>
      <c r="J317" s="267"/>
      <c r="K317" s="7"/>
      <c r="L317" s="31">
        <f>I317+J317+K317</f>
        <v>500</v>
      </c>
      <c r="M317" s="30"/>
      <c r="N317" s="7"/>
      <c r="O317" s="31">
        <f>L317+M317+N317</f>
        <v>500</v>
      </c>
      <c r="P317" s="195"/>
      <c r="Q317" s="91">
        <f>O317+P317</f>
        <v>500</v>
      </c>
    </row>
    <row r="318" spans="1:17" ht="12.75" hidden="1">
      <c r="A318" s="55" t="s">
        <v>104</v>
      </c>
      <c r="B318" s="111"/>
      <c r="C318" s="138"/>
      <c r="D318" s="139"/>
      <c r="E318" s="139"/>
      <c r="F318" s="250">
        <f>C318+D318+E318</f>
        <v>0</v>
      </c>
      <c r="G318" s="218"/>
      <c r="H318" s="219"/>
      <c r="I318" s="220">
        <f>F318+G318+H318</f>
        <v>0</v>
      </c>
      <c r="J318" s="12"/>
      <c r="K318" s="10"/>
      <c r="L318" s="35">
        <f>I318+J318+K318</f>
        <v>0</v>
      </c>
      <c r="M318" s="88"/>
      <c r="N318" s="10"/>
      <c r="O318" s="35">
        <f>L318+M318+N318</f>
        <v>0</v>
      </c>
      <c r="P318" s="200"/>
      <c r="Q318" s="93">
        <f>O318+P318</f>
        <v>0</v>
      </c>
    </row>
    <row r="319" spans="1:17" ht="12.75">
      <c r="A319" s="56" t="s">
        <v>240</v>
      </c>
      <c r="B319" s="113"/>
      <c r="C319" s="123">
        <f>C320+C341</f>
        <v>267594.8</v>
      </c>
      <c r="D319" s="124">
        <f>D320+D341</f>
        <v>473047.02</v>
      </c>
      <c r="E319" s="124">
        <f>E320+E341</f>
        <v>-1000</v>
      </c>
      <c r="F319" s="245">
        <f>F320+F341</f>
        <v>739641.82</v>
      </c>
      <c r="G319" s="204">
        <f aca="true" t="shared" si="97" ref="G319:Q319">G320+G341</f>
        <v>133947.54</v>
      </c>
      <c r="H319" s="205">
        <f t="shared" si="97"/>
        <v>0</v>
      </c>
      <c r="I319" s="206">
        <f t="shared" si="97"/>
        <v>873589.36</v>
      </c>
      <c r="J319" s="268">
        <f t="shared" si="97"/>
        <v>0</v>
      </c>
      <c r="K319" s="125">
        <f t="shared" si="97"/>
        <v>0</v>
      </c>
      <c r="L319" s="125">
        <f t="shared" si="97"/>
        <v>0</v>
      </c>
      <c r="M319" s="125">
        <f t="shared" si="97"/>
        <v>0</v>
      </c>
      <c r="N319" s="125">
        <f t="shared" si="97"/>
        <v>0</v>
      </c>
      <c r="O319" s="125">
        <f t="shared" si="97"/>
        <v>0</v>
      </c>
      <c r="P319" s="125">
        <f t="shared" si="97"/>
        <v>0</v>
      </c>
      <c r="Q319" s="125">
        <f t="shared" si="97"/>
        <v>0</v>
      </c>
    </row>
    <row r="320" spans="1:17" ht="12.75">
      <c r="A320" s="50" t="s">
        <v>69</v>
      </c>
      <c r="B320" s="112"/>
      <c r="C320" s="135">
        <f>SUM(C322:C333)</f>
        <v>43625.5</v>
      </c>
      <c r="D320" s="136">
        <f>SUM(D322:D333)</f>
        <v>19193.629999999997</v>
      </c>
      <c r="E320" s="136">
        <f>SUM(E322:E333)</f>
        <v>0</v>
      </c>
      <c r="F320" s="190">
        <f>SUM(F322:F333)</f>
        <v>62819.13</v>
      </c>
      <c r="G320" s="214">
        <f aca="true" t="shared" si="98" ref="G320:Q320">SUM(G322:G333)</f>
        <v>8758.960000000001</v>
      </c>
      <c r="H320" s="215">
        <f t="shared" si="98"/>
        <v>0</v>
      </c>
      <c r="I320" s="216">
        <f t="shared" si="98"/>
        <v>71578.09</v>
      </c>
      <c r="J320" s="274">
        <f t="shared" si="98"/>
        <v>0</v>
      </c>
      <c r="K320" s="137">
        <f t="shared" si="98"/>
        <v>0</v>
      </c>
      <c r="L320" s="137">
        <f t="shared" si="98"/>
        <v>0</v>
      </c>
      <c r="M320" s="137">
        <f t="shared" si="98"/>
        <v>0</v>
      </c>
      <c r="N320" s="137">
        <f t="shared" si="98"/>
        <v>0</v>
      </c>
      <c r="O320" s="137">
        <f t="shared" si="98"/>
        <v>0</v>
      </c>
      <c r="P320" s="137">
        <f t="shared" si="98"/>
        <v>0</v>
      </c>
      <c r="Q320" s="137">
        <f t="shared" si="98"/>
        <v>0</v>
      </c>
    </row>
    <row r="321" spans="1:17" ht="12.75">
      <c r="A321" s="46" t="s">
        <v>38</v>
      </c>
      <c r="B321" s="108"/>
      <c r="C321" s="135"/>
      <c r="D321" s="185"/>
      <c r="E321" s="136"/>
      <c r="F321" s="190"/>
      <c r="G321" s="207"/>
      <c r="H321" s="209"/>
      <c r="I321" s="208"/>
      <c r="J321" s="267"/>
      <c r="K321" s="7"/>
      <c r="L321" s="31"/>
      <c r="M321" s="39"/>
      <c r="N321" s="7"/>
      <c r="O321" s="31"/>
      <c r="P321" s="195"/>
      <c r="Q321" s="91"/>
    </row>
    <row r="322" spans="1:17" ht="12.75">
      <c r="A322" s="48" t="s">
        <v>72</v>
      </c>
      <c r="B322" s="108"/>
      <c r="C322" s="128">
        <v>582</v>
      </c>
      <c r="D322" s="143">
        <f>694.23+60.5</f>
        <v>754.73</v>
      </c>
      <c r="E322" s="126"/>
      <c r="F322" s="246">
        <f aca="true" t="shared" si="99" ref="F322:F340">C322+D322+E322</f>
        <v>1336.73</v>
      </c>
      <c r="G322" s="207">
        <f>349.2+63.32</f>
        <v>412.52</v>
      </c>
      <c r="H322" s="209"/>
      <c r="I322" s="208">
        <f>F322+G322+H322</f>
        <v>1749.25</v>
      </c>
      <c r="J322" s="267"/>
      <c r="K322" s="7"/>
      <c r="L322" s="31"/>
      <c r="M322" s="39"/>
      <c r="N322" s="7"/>
      <c r="O322" s="31"/>
      <c r="P322" s="195"/>
      <c r="Q322" s="91"/>
    </row>
    <row r="323" spans="1:17" ht="12.75">
      <c r="A323" s="48" t="s">
        <v>253</v>
      </c>
      <c r="B323" s="108"/>
      <c r="C323" s="128">
        <v>1300</v>
      </c>
      <c r="D323" s="143">
        <f>500+169.5</f>
        <v>669.5</v>
      </c>
      <c r="E323" s="126"/>
      <c r="F323" s="246">
        <f t="shared" si="99"/>
        <v>1969.5</v>
      </c>
      <c r="G323" s="207"/>
      <c r="H323" s="209"/>
      <c r="I323" s="208">
        <f aca="true" t="shared" si="100" ref="I323:I340">F323+G323+H323</f>
        <v>1969.5</v>
      </c>
      <c r="J323" s="267"/>
      <c r="K323" s="7"/>
      <c r="L323" s="31"/>
      <c r="M323" s="39"/>
      <c r="N323" s="7"/>
      <c r="O323" s="31"/>
      <c r="P323" s="195"/>
      <c r="Q323" s="91"/>
    </row>
    <row r="324" spans="1:17" ht="12.75">
      <c r="A324" s="48" t="s">
        <v>254</v>
      </c>
      <c r="B324" s="108"/>
      <c r="C324" s="128">
        <v>3861.2</v>
      </c>
      <c r="D324" s="143">
        <v>937.02</v>
      </c>
      <c r="E324" s="126">
        <v>200</v>
      </c>
      <c r="F324" s="246">
        <f t="shared" si="99"/>
        <v>4998.219999999999</v>
      </c>
      <c r="G324" s="207"/>
      <c r="H324" s="209"/>
      <c r="I324" s="208">
        <f t="shared" si="100"/>
        <v>4998.219999999999</v>
      </c>
      <c r="J324" s="267"/>
      <c r="K324" s="7"/>
      <c r="L324" s="31"/>
      <c r="M324" s="39"/>
      <c r="N324" s="7"/>
      <c r="O324" s="31"/>
      <c r="P324" s="195"/>
      <c r="Q324" s="91"/>
    </row>
    <row r="325" spans="1:17" ht="12.75">
      <c r="A325" s="109" t="s">
        <v>107</v>
      </c>
      <c r="B325" s="108"/>
      <c r="C325" s="128">
        <v>850</v>
      </c>
      <c r="D325" s="143"/>
      <c r="E325" s="126"/>
      <c r="F325" s="246">
        <f t="shared" si="99"/>
        <v>850</v>
      </c>
      <c r="G325" s="207"/>
      <c r="H325" s="209"/>
      <c r="I325" s="208">
        <f t="shared" si="100"/>
        <v>850</v>
      </c>
      <c r="J325" s="267"/>
      <c r="K325" s="7"/>
      <c r="L325" s="31"/>
      <c r="M325" s="39"/>
      <c r="N325" s="7"/>
      <c r="O325" s="31"/>
      <c r="P325" s="195"/>
      <c r="Q325" s="91"/>
    </row>
    <row r="326" spans="1:20" ht="12.75">
      <c r="A326" s="44" t="s">
        <v>288</v>
      </c>
      <c r="B326" s="108"/>
      <c r="C326" s="128">
        <v>5357.3</v>
      </c>
      <c r="D326" s="143"/>
      <c r="E326" s="126"/>
      <c r="F326" s="246">
        <f t="shared" si="99"/>
        <v>5357.3</v>
      </c>
      <c r="G326" s="289">
        <f>700</f>
        <v>700</v>
      </c>
      <c r="H326" s="209"/>
      <c r="I326" s="208">
        <f t="shared" si="100"/>
        <v>6057.3</v>
      </c>
      <c r="J326" s="267"/>
      <c r="K326" s="7"/>
      <c r="L326" s="31"/>
      <c r="M326" s="39"/>
      <c r="N326" s="7"/>
      <c r="O326" s="31"/>
      <c r="P326" s="195"/>
      <c r="Q326" s="91"/>
      <c r="S326" s="191"/>
      <c r="T326" s="191"/>
    </row>
    <row r="327" spans="1:20" ht="12.75">
      <c r="A327" s="48" t="s">
        <v>289</v>
      </c>
      <c r="B327" s="108"/>
      <c r="C327" s="128">
        <v>3500</v>
      </c>
      <c r="D327" s="143"/>
      <c r="E327" s="126"/>
      <c r="F327" s="246">
        <f t="shared" si="99"/>
        <v>3500</v>
      </c>
      <c r="G327" s="207"/>
      <c r="H327" s="209"/>
      <c r="I327" s="208">
        <f t="shared" si="100"/>
        <v>3500</v>
      </c>
      <c r="J327" s="267"/>
      <c r="K327" s="7"/>
      <c r="L327" s="31"/>
      <c r="M327" s="39"/>
      <c r="N327" s="7"/>
      <c r="O327" s="31"/>
      <c r="P327" s="195"/>
      <c r="Q327" s="91"/>
      <c r="S327" s="317"/>
      <c r="T327" s="191"/>
    </row>
    <row r="328" spans="1:20" ht="12.75">
      <c r="A328" s="48" t="s">
        <v>279</v>
      </c>
      <c r="B328" s="108">
        <v>3000</v>
      </c>
      <c r="C328" s="145"/>
      <c r="D328" s="143">
        <v>1561.56</v>
      </c>
      <c r="E328" s="146"/>
      <c r="F328" s="246">
        <f t="shared" si="99"/>
        <v>1561.56</v>
      </c>
      <c r="G328" s="207"/>
      <c r="H328" s="209"/>
      <c r="I328" s="208">
        <f t="shared" si="100"/>
        <v>1561.56</v>
      </c>
      <c r="J328" s="267"/>
      <c r="K328" s="7"/>
      <c r="L328" s="31"/>
      <c r="M328" s="39"/>
      <c r="N328" s="7"/>
      <c r="O328" s="31"/>
      <c r="P328" s="195"/>
      <c r="Q328" s="91"/>
      <c r="S328" s="317"/>
      <c r="T328" s="191"/>
    </row>
    <row r="329" spans="1:20" ht="12.75">
      <c r="A329" s="48" t="s">
        <v>338</v>
      </c>
      <c r="B329" s="108"/>
      <c r="C329" s="145"/>
      <c r="D329" s="143"/>
      <c r="E329" s="146"/>
      <c r="F329" s="246"/>
      <c r="G329" s="207">
        <v>650</v>
      </c>
      <c r="H329" s="209"/>
      <c r="I329" s="208">
        <f t="shared" si="100"/>
        <v>650</v>
      </c>
      <c r="J329" s="267"/>
      <c r="K329" s="7"/>
      <c r="L329" s="31"/>
      <c r="M329" s="39"/>
      <c r="N329" s="7"/>
      <c r="O329" s="31"/>
      <c r="P329" s="195"/>
      <c r="Q329" s="91"/>
      <c r="S329" s="317"/>
      <c r="T329" s="191"/>
    </row>
    <row r="330" spans="1:20" ht="12.75">
      <c r="A330" s="48" t="s">
        <v>339</v>
      </c>
      <c r="B330" s="108"/>
      <c r="C330" s="145"/>
      <c r="D330" s="143"/>
      <c r="E330" s="146"/>
      <c r="F330" s="246"/>
      <c r="G330" s="207">
        <v>1650.41</v>
      </c>
      <c r="H330" s="209"/>
      <c r="I330" s="208">
        <f t="shared" si="100"/>
        <v>1650.41</v>
      </c>
      <c r="J330" s="267"/>
      <c r="K330" s="7"/>
      <c r="L330" s="31"/>
      <c r="M330" s="39"/>
      <c r="N330" s="7"/>
      <c r="O330" s="31"/>
      <c r="P330" s="195"/>
      <c r="Q330" s="91"/>
      <c r="S330" s="317"/>
      <c r="T330" s="191"/>
    </row>
    <row r="331" spans="1:19" ht="12.75" hidden="1">
      <c r="A331" s="44" t="s">
        <v>218</v>
      </c>
      <c r="B331" s="108" t="s">
        <v>308</v>
      </c>
      <c r="C331" s="145"/>
      <c r="D331" s="143"/>
      <c r="E331" s="146"/>
      <c r="F331" s="246">
        <f t="shared" si="99"/>
        <v>0</v>
      </c>
      <c r="G331" s="207"/>
      <c r="H331" s="209"/>
      <c r="I331" s="208">
        <f t="shared" si="100"/>
        <v>0</v>
      </c>
      <c r="J331" s="267"/>
      <c r="K331" s="7"/>
      <c r="L331" s="31"/>
      <c r="M331" s="39"/>
      <c r="N331" s="7"/>
      <c r="O331" s="31"/>
      <c r="P331" s="195"/>
      <c r="Q331" s="91"/>
      <c r="S331" s="241">
        <f>S327+S328+S329+S330</f>
        <v>0</v>
      </c>
    </row>
    <row r="332" spans="1:17" ht="12.75">
      <c r="A332" s="48" t="s">
        <v>245</v>
      </c>
      <c r="B332" s="108" t="s">
        <v>280</v>
      </c>
      <c r="C332" s="145"/>
      <c r="D332" s="143">
        <v>1262.83</v>
      </c>
      <c r="E332" s="146"/>
      <c r="F332" s="246">
        <f t="shared" si="99"/>
        <v>1262.83</v>
      </c>
      <c r="G332" s="289"/>
      <c r="H332" s="209"/>
      <c r="I332" s="208">
        <f t="shared" si="100"/>
        <v>1262.83</v>
      </c>
      <c r="J332" s="267"/>
      <c r="K332" s="7"/>
      <c r="L332" s="31"/>
      <c r="M332" s="39"/>
      <c r="N332" s="7"/>
      <c r="O332" s="31"/>
      <c r="P332" s="195"/>
      <c r="Q332" s="91"/>
    </row>
    <row r="333" spans="1:17" ht="12.75">
      <c r="A333" s="44" t="s">
        <v>104</v>
      </c>
      <c r="B333" s="108"/>
      <c r="C333" s="147">
        <f>SUM(C334:C340)</f>
        <v>28175</v>
      </c>
      <c r="D333" s="143">
        <f>SUM(D334:D340)</f>
        <v>14007.99</v>
      </c>
      <c r="E333" s="148">
        <f>SUM(E334:E340)</f>
        <v>-200</v>
      </c>
      <c r="F333" s="197">
        <f aca="true" t="shared" si="101" ref="F333:Q333">SUM(F334:F340)</f>
        <v>41982.99</v>
      </c>
      <c r="G333" s="289">
        <f t="shared" si="101"/>
        <v>5346.030000000001</v>
      </c>
      <c r="H333" s="223">
        <f t="shared" si="101"/>
        <v>0</v>
      </c>
      <c r="I333" s="290">
        <f t="shared" si="101"/>
        <v>47329.02</v>
      </c>
      <c r="J333" s="148">
        <f t="shared" si="101"/>
        <v>0</v>
      </c>
      <c r="K333" s="148">
        <f t="shared" si="101"/>
        <v>0</v>
      </c>
      <c r="L333" s="148">
        <f t="shared" si="101"/>
        <v>0</v>
      </c>
      <c r="M333" s="148">
        <f t="shared" si="101"/>
        <v>0</v>
      </c>
      <c r="N333" s="148">
        <f t="shared" si="101"/>
        <v>0</v>
      </c>
      <c r="O333" s="148">
        <f t="shared" si="101"/>
        <v>0</v>
      </c>
      <c r="P333" s="148">
        <f t="shared" si="101"/>
        <v>0</v>
      </c>
      <c r="Q333" s="148">
        <f t="shared" si="101"/>
        <v>0</v>
      </c>
    </row>
    <row r="334" spans="1:17" ht="12.75">
      <c r="A334" s="44" t="s">
        <v>277</v>
      </c>
      <c r="B334" s="108"/>
      <c r="C334" s="144">
        <v>27500</v>
      </c>
      <c r="D334" s="143">
        <f>10828.07-529.95</f>
        <v>10298.119999999999</v>
      </c>
      <c r="E334" s="126">
        <v>-200</v>
      </c>
      <c r="F334" s="246">
        <f t="shared" si="99"/>
        <v>37598.119999999995</v>
      </c>
      <c r="G334" s="289">
        <f>543.52+400+1600</f>
        <v>2543.52</v>
      </c>
      <c r="H334" s="209"/>
      <c r="I334" s="208">
        <f t="shared" si="100"/>
        <v>40141.63999999999</v>
      </c>
      <c r="J334" s="267"/>
      <c r="K334" s="7"/>
      <c r="L334" s="31"/>
      <c r="M334" s="39"/>
      <c r="N334" s="7"/>
      <c r="O334" s="31"/>
      <c r="P334" s="195"/>
      <c r="Q334" s="91"/>
    </row>
    <row r="335" spans="1:17" ht="12.75">
      <c r="A335" s="44" t="s">
        <v>276</v>
      </c>
      <c r="B335" s="108"/>
      <c r="C335" s="144">
        <v>375</v>
      </c>
      <c r="D335" s="143">
        <f>484+291.3</f>
        <v>775.3</v>
      </c>
      <c r="E335" s="149"/>
      <c r="F335" s="246">
        <f t="shared" si="99"/>
        <v>1150.3</v>
      </c>
      <c r="G335" s="207">
        <f>-363+451.5</f>
        <v>88.5</v>
      </c>
      <c r="H335" s="209"/>
      <c r="I335" s="208">
        <f t="shared" si="100"/>
        <v>1238.8</v>
      </c>
      <c r="J335" s="267"/>
      <c r="K335" s="7"/>
      <c r="L335" s="31"/>
      <c r="M335" s="39"/>
      <c r="N335" s="7"/>
      <c r="O335" s="31"/>
      <c r="P335" s="195"/>
      <c r="Q335" s="91"/>
    </row>
    <row r="336" spans="1:17" ht="12.75">
      <c r="A336" s="44" t="s">
        <v>275</v>
      </c>
      <c r="B336" s="108"/>
      <c r="C336" s="144"/>
      <c r="D336" s="143">
        <f>13.95+69.84+38.07+83.23+30.25+3.03</f>
        <v>238.37000000000003</v>
      </c>
      <c r="E336" s="149"/>
      <c r="F336" s="246">
        <f t="shared" si="99"/>
        <v>238.37000000000003</v>
      </c>
      <c r="G336" s="207">
        <f>363+72.6+3890.39</f>
        <v>4325.99</v>
      </c>
      <c r="H336" s="209"/>
      <c r="I336" s="208">
        <f t="shared" si="100"/>
        <v>4564.36</v>
      </c>
      <c r="J336" s="267"/>
      <c r="K336" s="7"/>
      <c r="L336" s="31"/>
      <c r="M336" s="39"/>
      <c r="N336" s="7"/>
      <c r="O336" s="31"/>
      <c r="P336" s="195"/>
      <c r="Q336" s="91"/>
    </row>
    <row r="337" spans="1:17" ht="12.75">
      <c r="A337" s="44" t="s">
        <v>291</v>
      </c>
      <c r="B337" s="108"/>
      <c r="C337" s="144"/>
      <c r="D337" s="143">
        <f>286.04+1721.06</f>
        <v>2007.1</v>
      </c>
      <c r="E337" s="149"/>
      <c r="F337" s="246">
        <f t="shared" si="99"/>
        <v>2007.1</v>
      </c>
      <c r="G337" s="207">
        <f>-250-1591.98</f>
        <v>-1841.98</v>
      </c>
      <c r="H337" s="209"/>
      <c r="I337" s="208">
        <f t="shared" si="100"/>
        <v>165.1199999999999</v>
      </c>
      <c r="J337" s="267"/>
      <c r="K337" s="7"/>
      <c r="L337" s="31"/>
      <c r="M337" s="39"/>
      <c r="N337" s="7"/>
      <c r="O337" s="31"/>
      <c r="P337" s="195"/>
      <c r="Q337" s="91"/>
    </row>
    <row r="338" spans="1:17" ht="12.75">
      <c r="A338" s="44" t="s">
        <v>316</v>
      </c>
      <c r="B338" s="108"/>
      <c r="C338" s="144"/>
      <c r="D338" s="143">
        <v>89.1</v>
      </c>
      <c r="E338" s="149"/>
      <c r="F338" s="246">
        <f t="shared" si="99"/>
        <v>89.1</v>
      </c>
      <c r="G338" s="207"/>
      <c r="H338" s="209"/>
      <c r="I338" s="208">
        <f t="shared" si="100"/>
        <v>89.1</v>
      </c>
      <c r="J338" s="267"/>
      <c r="K338" s="7"/>
      <c r="L338" s="31"/>
      <c r="M338" s="39"/>
      <c r="N338" s="7"/>
      <c r="O338" s="31"/>
      <c r="P338" s="195"/>
      <c r="Q338" s="91"/>
    </row>
    <row r="339" spans="1:17" ht="12.75">
      <c r="A339" s="44" t="s">
        <v>314</v>
      </c>
      <c r="B339" s="108"/>
      <c r="C339" s="144"/>
      <c r="D339" s="143"/>
      <c r="E339" s="149"/>
      <c r="F339" s="246">
        <f t="shared" si="99"/>
        <v>0</v>
      </c>
      <c r="G339" s="207">
        <v>230</v>
      </c>
      <c r="H339" s="209"/>
      <c r="I339" s="208">
        <f t="shared" si="100"/>
        <v>230</v>
      </c>
      <c r="J339" s="267"/>
      <c r="K339" s="7"/>
      <c r="L339" s="31"/>
      <c r="M339" s="39"/>
      <c r="N339" s="7"/>
      <c r="O339" s="31"/>
      <c r="P339" s="195"/>
      <c r="Q339" s="91"/>
    </row>
    <row r="340" spans="1:17" ht="12.75">
      <c r="A340" s="44" t="s">
        <v>260</v>
      </c>
      <c r="B340" s="108"/>
      <c r="C340" s="144">
        <v>300</v>
      </c>
      <c r="D340" s="143">
        <v>600</v>
      </c>
      <c r="E340" s="149"/>
      <c r="F340" s="246">
        <f t="shared" si="99"/>
        <v>900</v>
      </c>
      <c r="G340" s="207"/>
      <c r="H340" s="209"/>
      <c r="I340" s="208">
        <f t="shared" si="100"/>
        <v>900</v>
      </c>
      <c r="J340" s="267"/>
      <c r="K340" s="7"/>
      <c r="L340" s="31"/>
      <c r="M340" s="39"/>
      <c r="N340" s="7"/>
      <c r="O340" s="31"/>
      <c r="P340" s="195"/>
      <c r="Q340" s="91"/>
    </row>
    <row r="341" spans="1:17" ht="12.75">
      <c r="A341" s="50" t="s">
        <v>75</v>
      </c>
      <c r="B341" s="112"/>
      <c r="C341" s="135">
        <f>SUM(C343:C354)</f>
        <v>223969.3</v>
      </c>
      <c r="D341" s="136">
        <f>SUM(D343:D354)</f>
        <v>453853.39</v>
      </c>
      <c r="E341" s="136">
        <f>SUM(E343:E354)</f>
        <v>-1000</v>
      </c>
      <c r="F341" s="190">
        <f>SUM(F343:F354)</f>
        <v>676822.69</v>
      </c>
      <c r="G341" s="214">
        <f aca="true" t="shared" si="102" ref="G341:Q341">SUM(G343:G354)</f>
        <v>125188.58000000002</v>
      </c>
      <c r="H341" s="215">
        <f t="shared" si="102"/>
        <v>0</v>
      </c>
      <c r="I341" s="216">
        <f t="shared" si="102"/>
        <v>802011.27</v>
      </c>
      <c r="J341" s="274">
        <f t="shared" si="102"/>
        <v>0</v>
      </c>
      <c r="K341" s="137">
        <f t="shared" si="102"/>
        <v>0</v>
      </c>
      <c r="L341" s="137">
        <f t="shared" si="102"/>
        <v>0</v>
      </c>
      <c r="M341" s="137">
        <f t="shared" si="102"/>
        <v>0</v>
      </c>
      <c r="N341" s="137">
        <f t="shared" si="102"/>
        <v>0</v>
      </c>
      <c r="O341" s="137">
        <f t="shared" si="102"/>
        <v>0</v>
      </c>
      <c r="P341" s="137">
        <f t="shared" si="102"/>
        <v>0</v>
      </c>
      <c r="Q341" s="137">
        <f t="shared" si="102"/>
        <v>0</v>
      </c>
    </row>
    <row r="342" spans="1:17" ht="12.75">
      <c r="A342" s="48" t="s">
        <v>38</v>
      </c>
      <c r="B342" s="108"/>
      <c r="C342" s="128"/>
      <c r="D342" s="126"/>
      <c r="E342" s="126"/>
      <c r="F342" s="246"/>
      <c r="G342" s="207"/>
      <c r="H342" s="209"/>
      <c r="I342" s="208"/>
      <c r="J342" s="267"/>
      <c r="K342" s="7"/>
      <c r="L342" s="31"/>
      <c r="M342" s="39"/>
      <c r="N342" s="7"/>
      <c r="O342" s="31"/>
      <c r="P342" s="195"/>
      <c r="Q342" s="91"/>
    </row>
    <row r="343" spans="1:17" ht="12.75">
      <c r="A343" s="48" t="s">
        <v>255</v>
      </c>
      <c r="B343" s="108"/>
      <c r="C343" s="128">
        <v>2100</v>
      </c>
      <c r="D343" s="126"/>
      <c r="E343" s="126"/>
      <c r="F343" s="246">
        <f>C343+D343+E343</f>
        <v>2100</v>
      </c>
      <c r="G343" s="207"/>
      <c r="H343" s="209"/>
      <c r="I343" s="208">
        <f aca="true" t="shared" si="103" ref="I343:I365">F343+G343+H343</f>
        <v>2100</v>
      </c>
      <c r="J343" s="267"/>
      <c r="K343" s="7"/>
      <c r="L343" s="31"/>
      <c r="M343" s="39"/>
      <c r="N343" s="7"/>
      <c r="O343" s="31"/>
      <c r="P343" s="195"/>
      <c r="Q343" s="91"/>
    </row>
    <row r="344" spans="1:17" ht="12.75">
      <c r="A344" s="48" t="s">
        <v>254</v>
      </c>
      <c r="B344" s="108"/>
      <c r="C344" s="128">
        <v>4364.3</v>
      </c>
      <c r="D344" s="126">
        <v>1339.35</v>
      </c>
      <c r="E344" s="126"/>
      <c r="F344" s="246">
        <f>C344+D344+E344</f>
        <v>5703.65</v>
      </c>
      <c r="G344" s="207"/>
      <c r="H344" s="209"/>
      <c r="I344" s="208">
        <f t="shared" si="103"/>
        <v>5703.65</v>
      </c>
      <c r="J344" s="267"/>
      <c r="K344" s="7"/>
      <c r="L344" s="31"/>
      <c r="M344" s="39"/>
      <c r="N344" s="7"/>
      <c r="O344" s="31"/>
      <c r="P344" s="195"/>
      <c r="Q344" s="91"/>
    </row>
    <row r="345" spans="1:17" ht="12.75">
      <c r="A345" s="48" t="s">
        <v>244</v>
      </c>
      <c r="B345" s="108"/>
      <c r="C345" s="128">
        <v>13580</v>
      </c>
      <c r="D345" s="126"/>
      <c r="E345" s="126"/>
      <c r="F345" s="246">
        <f>C345+D345+E345</f>
        <v>13580</v>
      </c>
      <c r="G345" s="207"/>
      <c r="H345" s="209"/>
      <c r="I345" s="208">
        <f t="shared" si="103"/>
        <v>13580</v>
      </c>
      <c r="J345" s="267"/>
      <c r="K345" s="7"/>
      <c r="L345" s="31"/>
      <c r="M345" s="39"/>
      <c r="N345" s="7"/>
      <c r="O345" s="31"/>
      <c r="P345" s="195"/>
      <c r="Q345" s="91"/>
    </row>
    <row r="346" spans="1:17" ht="12.75">
      <c r="A346" s="48" t="s">
        <v>279</v>
      </c>
      <c r="B346" s="108">
        <v>3000</v>
      </c>
      <c r="C346" s="128"/>
      <c r="D346" s="143">
        <v>17295.76</v>
      </c>
      <c r="E346" s="126"/>
      <c r="F346" s="246">
        <f>C346+D346+E346</f>
        <v>17295.76</v>
      </c>
      <c r="G346" s="207"/>
      <c r="H346" s="209"/>
      <c r="I346" s="208">
        <f t="shared" si="103"/>
        <v>17295.76</v>
      </c>
      <c r="J346" s="267"/>
      <c r="K346" s="7"/>
      <c r="L346" s="31"/>
      <c r="M346" s="39"/>
      <c r="N346" s="7"/>
      <c r="O346" s="31"/>
      <c r="P346" s="195"/>
      <c r="Q346" s="91"/>
    </row>
    <row r="347" spans="1:17" ht="12.75">
      <c r="A347" s="48" t="s">
        <v>338</v>
      </c>
      <c r="B347" s="108"/>
      <c r="C347" s="128"/>
      <c r="D347" s="143"/>
      <c r="E347" s="126"/>
      <c r="F347" s="246"/>
      <c r="G347" s="207">
        <v>7300</v>
      </c>
      <c r="H347" s="209"/>
      <c r="I347" s="208">
        <f t="shared" si="103"/>
        <v>7300</v>
      </c>
      <c r="J347" s="267"/>
      <c r="K347" s="7"/>
      <c r="L347" s="31"/>
      <c r="M347" s="39"/>
      <c r="N347" s="7"/>
      <c r="O347" s="31"/>
      <c r="P347" s="195"/>
      <c r="Q347" s="91"/>
    </row>
    <row r="348" spans="1:17" ht="12.75">
      <c r="A348" s="48" t="s">
        <v>339</v>
      </c>
      <c r="B348" s="108"/>
      <c r="C348" s="128"/>
      <c r="D348" s="143"/>
      <c r="E348" s="126"/>
      <c r="F348" s="246"/>
      <c r="G348" s="128">
        <v>14430.5</v>
      </c>
      <c r="H348" s="209"/>
      <c r="I348" s="208">
        <f t="shared" si="103"/>
        <v>14430.5</v>
      </c>
      <c r="J348" s="267"/>
      <c r="K348" s="7"/>
      <c r="L348" s="31"/>
      <c r="M348" s="39"/>
      <c r="N348" s="7"/>
      <c r="O348" s="31"/>
      <c r="P348" s="195"/>
      <c r="Q348" s="91"/>
    </row>
    <row r="349" spans="1:17" ht="12.75">
      <c r="A349" s="48" t="s">
        <v>256</v>
      </c>
      <c r="B349" s="108"/>
      <c r="C349" s="128">
        <v>100000</v>
      </c>
      <c r="D349" s="186">
        <f>50000+48500</f>
        <v>98500</v>
      </c>
      <c r="E349" s="126">
        <v>-97600</v>
      </c>
      <c r="F349" s="246">
        <f aca="true" t="shared" si="104" ref="F349:F365">C349+D349+E349</f>
        <v>100900</v>
      </c>
      <c r="G349" s="207"/>
      <c r="H349" s="209"/>
      <c r="I349" s="208">
        <f t="shared" si="103"/>
        <v>100900</v>
      </c>
      <c r="J349" s="267"/>
      <c r="K349" s="7"/>
      <c r="L349" s="31"/>
      <c r="M349" s="39"/>
      <c r="N349" s="7"/>
      <c r="O349" s="31"/>
      <c r="P349" s="195"/>
      <c r="Q349" s="91"/>
    </row>
    <row r="350" spans="1:17" ht="12.75">
      <c r="A350" s="48" t="s">
        <v>278</v>
      </c>
      <c r="B350" s="108" t="s">
        <v>281</v>
      </c>
      <c r="C350" s="128"/>
      <c r="D350" s="143">
        <v>923.92</v>
      </c>
      <c r="E350" s="126"/>
      <c r="F350" s="246">
        <f t="shared" si="104"/>
        <v>923.92</v>
      </c>
      <c r="G350" s="207"/>
      <c r="H350" s="209"/>
      <c r="I350" s="208">
        <f t="shared" si="103"/>
        <v>923.92</v>
      </c>
      <c r="J350" s="267"/>
      <c r="K350" s="7"/>
      <c r="L350" s="31"/>
      <c r="M350" s="39"/>
      <c r="N350" s="7"/>
      <c r="O350" s="31"/>
      <c r="P350" s="195"/>
      <c r="Q350" s="91"/>
    </row>
    <row r="351" spans="1:17" ht="12.75">
      <c r="A351" s="48" t="s">
        <v>245</v>
      </c>
      <c r="B351" s="108" t="s">
        <v>280</v>
      </c>
      <c r="C351" s="128">
        <v>9000</v>
      </c>
      <c r="D351" s="143">
        <f>36084.02-1699.9</f>
        <v>34384.119999999995</v>
      </c>
      <c r="E351" s="126"/>
      <c r="F351" s="246">
        <f t="shared" si="104"/>
        <v>43384.119999999995</v>
      </c>
      <c r="G351" s="207"/>
      <c r="H351" s="209"/>
      <c r="I351" s="208">
        <f t="shared" si="103"/>
        <v>43384.119999999995</v>
      </c>
      <c r="J351" s="267"/>
      <c r="K351" s="7"/>
      <c r="L351" s="31"/>
      <c r="M351" s="39"/>
      <c r="N351" s="7"/>
      <c r="O351" s="31"/>
      <c r="P351" s="195"/>
      <c r="Q351" s="91"/>
    </row>
    <row r="352" spans="1:17" ht="12.75">
      <c r="A352" s="48" t="s">
        <v>313</v>
      </c>
      <c r="B352" s="108"/>
      <c r="C352" s="128">
        <v>9000</v>
      </c>
      <c r="D352" s="143">
        <v>1699.9</v>
      </c>
      <c r="E352" s="126"/>
      <c r="F352" s="246">
        <f t="shared" si="104"/>
        <v>10699.9</v>
      </c>
      <c r="G352" s="207">
        <v>-9000</v>
      </c>
      <c r="H352" s="209"/>
      <c r="I352" s="208">
        <f t="shared" si="103"/>
        <v>1699.8999999999996</v>
      </c>
      <c r="J352" s="267"/>
      <c r="K352" s="7"/>
      <c r="L352" s="31"/>
      <c r="M352" s="39"/>
      <c r="N352" s="7"/>
      <c r="O352" s="31"/>
      <c r="P352" s="195"/>
      <c r="Q352" s="91"/>
    </row>
    <row r="353" spans="1:17" ht="12.75" hidden="1">
      <c r="A353" s="48" t="s">
        <v>290</v>
      </c>
      <c r="B353" s="108"/>
      <c r="C353" s="128"/>
      <c r="D353" s="143"/>
      <c r="E353" s="126"/>
      <c r="F353" s="246">
        <f t="shared" si="104"/>
        <v>0</v>
      </c>
      <c r="G353" s="207"/>
      <c r="H353" s="209"/>
      <c r="I353" s="208">
        <f t="shared" si="103"/>
        <v>0</v>
      </c>
      <c r="J353" s="267"/>
      <c r="K353" s="7"/>
      <c r="L353" s="31"/>
      <c r="M353" s="39"/>
      <c r="N353" s="7"/>
      <c r="O353" s="31"/>
      <c r="P353" s="195"/>
      <c r="Q353" s="91"/>
    </row>
    <row r="354" spans="1:17" ht="12.75">
      <c r="A354" s="48" t="s">
        <v>246</v>
      </c>
      <c r="B354" s="108"/>
      <c r="C354" s="128">
        <f>SUM(C355:C365)</f>
        <v>85925</v>
      </c>
      <c r="D354" s="143">
        <f>SUM(D355:D365)</f>
        <v>299710.34</v>
      </c>
      <c r="E354" s="143">
        <f>SUM(E355:E365)</f>
        <v>96600</v>
      </c>
      <c r="F354" s="252">
        <f aca="true" t="shared" si="105" ref="F354:Q354">SUM(F355:F365)</f>
        <v>482235.33999999997</v>
      </c>
      <c r="G354" s="289">
        <f t="shared" si="105"/>
        <v>112458.08000000002</v>
      </c>
      <c r="H354" s="223">
        <f t="shared" si="105"/>
        <v>0</v>
      </c>
      <c r="I354" s="290">
        <f t="shared" si="105"/>
        <v>594693.42</v>
      </c>
      <c r="J354" s="275">
        <f t="shared" si="105"/>
        <v>0</v>
      </c>
      <c r="K354" s="143">
        <f t="shared" si="105"/>
        <v>0</v>
      </c>
      <c r="L354" s="143">
        <f t="shared" si="105"/>
        <v>0</v>
      </c>
      <c r="M354" s="143">
        <f t="shared" si="105"/>
        <v>0</v>
      </c>
      <c r="N354" s="143">
        <f t="shared" si="105"/>
        <v>0</v>
      </c>
      <c r="O354" s="143">
        <f t="shared" si="105"/>
        <v>0</v>
      </c>
      <c r="P354" s="143">
        <f t="shared" si="105"/>
        <v>0</v>
      </c>
      <c r="Q354" s="143">
        <f t="shared" si="105"/>
        <v>0</v>
      </c>
    </row>
    <row r="355" spans="1:17" ht="12.75">
      <c r="A355" s="48" t="s">
        <v>247</v>
      </c>
      <c r="B355" s="108"/>
      <c r="C355" s="128">
        <v>23125</v>
      </c>
      <c r="D355" s="143">
        <f>439.83+18000+1000+356.12+15945.03+1622.09</f>
        <v>37363.07</v>
      </c>
      <c r="E355" s="126">
        <v>-1000</v>
      </c>
      <c r="F355" s="246">
        <f t="shared" si="104"/>
        <v>59488.07</v>
      </c>
      <c r="G355" s="207">
        <f>-1476.16+19.55-36000</f>
        <v>-37456.61</v>
      </c>
      <c r="H355" s="209"/>
      <c r="I355" s="208">
        <f t="shared" si="103"/>
        <v>22031.46</v>
      </c>
      <c r="J355" s="267"/>
      <c r="K355" s="7"/>
      <c r="L355" s="31"/>
      <c r="M355" s="39"/>
      <c r="N355" s="7"/>
      <c r="O355" s="31"/>
      <c r="P355" s="195"/>
      <c r="Q355" s="91"/>
    </row>
    <row r="356" spans="1:17" ht="12.75">
      <c r="A356" s="48" t="s">
        <v>320</v>
      </c>
      <c r="B356" s="108"/>
      <c r="C356" s="128">
        <v>1000</v>
      </c>
      <c r="D356" s="143"/>
      <c r="E356" s="126"/>
      <c r="F356" s="246">
        <f t="shared" si="104"/>
        <v>1000</v>
      </c>
      <c r="G356" s="207"/>
      <c r="H356" s="209"/>
      <c r="I356" s="208">
        <f t="shared" si="103"/>
        <v>1000</v>
      </c>
      <c r="J356" s="267"/>
      <c r="K356" s="7"/>
      <c r="L356" s="31"/>
      <c r="M356" s="39"/>
      <c r="N356" s="7"/>
      <c r="O356" s="31"/>
      <c r="P356" s="195"/>
      <c r="Q356" s="91"/>
    </row>
    <row r="357" spans="1:17" ht="12.75">
      <c r="A357" s="48" t="s">
        <v>257</v>
      </c>
      <c r="B357" s="108"/>
      <c r="C357" s="128">
        <v>4000</v>
      </c>
      <c r="D357" s="143"/>
      <c r="E357" s="126"/>
      <c r="F357" s="246">
        <f t="shared" si="104"/>
        <v>4000</v>
      </c>
      <c r="G357" s="207"/>
      <c r="H357" s="209"/>
      <c r="I357" s="208">
        <f t="shared" si="103"/>
        <v>4000</v>
      </c>
      <c r="J357" s="267"/>
      <c r="K357" s="7"/>
      <c r="L357" s="31"/>
      <c r="M357" s="39"/>
      <c r="N357" s="7"/>
      <c r="O357" s="31"/>
      <c r="P357" s="195"/>
      <c r="Q357" s="91"/>
    </row>
    <row r="358" spans="1:17" ht="12.75">
      <c r="A358" s="48" t="s">
        <v>360</v>
      </c>
      <c r="B358" s="108"/>
      <c r="C358" s="128"/>
      <c r="D358" s="143"/>
      <c r="E358" s="126"/>
      <c r="F358" s="246">
        <f t="shared" si="104"/>
        <v>0</v>
      </c>
      <c r="G358" s="207">
        <v>35000</v>
      </c>
      <c r="H358" s="209"/>
      <c r="I358" s="208">
        <f t="shared" si="103"/>
        <v>35000</v>
      </c>
      <c r="J358" s="267"/>
      <c r="K358" s="7"/>
      <c r="L358" s="31"/>
      <c r="M358" s="39"/>
      <c r="N358" s="7"/>
      <c r="O358" s="31"/>
      <c r="P358" s="195"/>
      <c r="Q358" s="91"/>
    </row>
    <row r="359" spans="1:17" ht="12.75">
      <c r="A359" s="48" t="s">
        <v>248</v>
      </c>
      <c r="B359" s="108"/>
      <c r="C359" s="128">
        <v>20000</v>
      </c>
      <c r="D359" s="143">
        <f>12706.44+77.86+346.55+36524.2</f>
        <v>49655.049999999996</v>
      </c>
      <c r="E359" s="126"/>
      <c r="F359" s="246">
        <f t="shared" si="104"/>
        <v>69655.04999999999</v>
      </c>
      <c r="G359" s="128">
        <f>1189.89+2883.73+3186.46+6.53+121.71+36975.8+5.05</f>
        <v>44369.170000000006</v>
      </c>
      <c r="H359" s="209"/>
      <c r="I359" s="208">
        <f t="shared" si="103"/>
        <v>114024.22</v>
      </c>
      <c r="J359" s="267"/>
      <c r="K359" s="7"/>
      <c r="L359" s="31"/>
      <c r="M359" s="39"/>
      <c r="N359" s="7"/>
      <c r="O359" s="31"/>
      <c r="P359" s="195"/>
      <c r="Q359" s="91"/>
    </row>
    <row r="360" spans="1:17" ht="12.75">
      <c r="A360" s="48" t="s">
        <v>249</v>
      </c>
      <c r="B360" s="108"/>
      <c r="C360" s="128">
        <v>2500</v>
      </c>
      <c r="D360" s="143">
        <f>2332.28+20635.07+275.91+2689.85+639.06+26.2+10.77+36-3.03+97.88</f>
        <v>26739.99</v>
      </c>
      <c r="E360" s="126"/>
      <c r="F360" s="246">
        <f t="shared" si="104"/>
        <v>29239.99</v>
      </c>
      <c r="G360" s="207">
        <f>921.45+369.78+2842.36+800.87+333.96+606.49+897.22+1413.57+319.32+114.08</f>
        <v>8619.1</v>
      </c>
      <c r="H360" s="209"/>
      <c r="I360" s="208">
        <f t="shared" si="103"/>
        <v>37859.090000000004</v>
      </c>
      <c r="J360" s="267"/>
      <c r="K360" s="7"/>
      <c r="L360" s="31"/>
      <c r="M360" s="39"/>
      <c r="N360" s="7"/>
      <c r="O360" s="31"/>
      <c r="P360" s="195"/>
      <c r="Q360" s="91"/>
    </row>
    <row r="361" spans="1:17" ht="12.75">
      <c r="A361" s="48" t="s">
        <v>258</v>
      </c>
      <c r="B361" s="108"/>
      <c r="C361" s="128">
        <v>25000</v>
      </c>
      <c r="D361" s="143">
        <f>1625+479.61+9710.52+1</f>
        <v>11816.130000000001</v>
      </c>
      <c r="E361" s="126"/>
      <c r="F361" s="246">
        <f t="shared" si="104"/>
        <v>36816.130000000005</v>
      </c>
      <c r="G361" s="207">
        <f>250-8982.23</f>
        <v>-8732.23</v>
      </c>
      <c r="H361" s="209"/>
      <c r="I361" s="208">
        <f t="shared" si="103"/>
        <v>28083.900000000005</v>
      </c>
      <c r="J361" s="267"/>
      <c r="K361" s="7"/>
      <c r="L361" s="31"/>
      <c r="M361" s="39"/>
      <c r="N361" s="7"/>
      <c r="O361" s="31"/>
      <c r="P361" s="195"/>
      <c r="Q361" s="91"/>
    </row>
    <row r="362" spans="1:17" ht="12.75">
      <c r="A362" s="48" t="s">
        <v>315</v>
      </c>
      <c r="B362" s="108"/>
      <c r="C362" s="128"/>
      <c r="D362" s="143">
        <f>10.28+87.2</f>
        <v>97.48</v>
      </c>
      <c r="E362" s="126"/>
      <c r="F362" s="246">
        <f t="shared" si="104"/>
        <v>97.48</v>
      </c>
      <c r="G362" s="207">
        <f>554.71</f>
        <v>554.71</v>
      </c>
      <c r="H362" s="209"/>
      <c r="I362" s="208">
        <f t="shared" si="103"/>
        <v>652.19</v>
      </c>
      <c r="J362" s="267"/>
      <c r="K362" s="7"/>
      <c r="L362" s="31"/>
      <c r="M362" s="39"/>
      <c r="N362" s="7"/>
      <c r="O362" s="31"/>
      <c r="P362" s="195"/>
      <c r="Q362" s="91"/>
    </row>
    <row r="363" spans="1:17" ht="12.75">
      <c r="A363" s="48" t="s">
        <v>250</v>
      </c>
      <c r="B363" s="108"/>
      <c r="C363" s="128">
        <v>300</v>
      </c>
      <c r="D363" s="126">
        <f>59.98+80+1375.02</f>
        <v>1515</v>
      </c>
      <c r="E363" s="126"/>
      <c r="F363" s="246">
        <f>C363+D363+E363</f>
        <v>1815</v>
      </c>
      <c r="G363" s="207">
        <v>-230</v>
      </c>
      <c r="H363" s="209"/>
      <c r="I363" s="208">
        <f t="shared" si="103"/>
        <v>1585</v>
      </c>
      <c r="J363" s="267"/>
      <c r="K363" s="7"/>
      <c r="L363" s="31"/>
      <c r="M363" s="39"/>
      <c r="N363" s="7"/>
      <c r="O363" s="31"/>
      <c r="P363" s="195"/>
      <c r="Q363" s="91"/>
    </row>
    <row r="364" spans="1:17" ht="12.75">
      <c r="A364" s="48" t="s">
        <v>321</v>
      </c>
      <c r="B364" s="108"/>
      <c r="C364" s="128"/>
      <c r="D364" s="126"/>
      <c r="E364" s="126">
        <v>97600</v>
      </c>
      <c r="F364" s="246">
        <f>C364+D364+E364</f>
        <v>97600</v>
      </c>
      <c r="G364" s="207"/>
      <c r="H364" s="209"/>
      <c r="I364" s="208">
        <f t="shared" si="103"/>
        <v>97600</v>
      </c>
      <c r="J364" s="267"/>
      <c r="K364" s="7"/>
      <c r="L364" s="31"/>
      <c r="M364" s="39"/>
      <c r="N364" s="7"/>
      <c r="O364" s="31"/>
      <c r="P364" s="195"/>
      <c r="Q364" s="91"/>
    </row>
    <row r="365" spans="1:17" ht="13.5" thickBot="1">
      <c r="A365" s="334" t="s">
        <v>259</v>
      </c>
      <c r="B365" s="327"/>
      <c r="C365" s="328">
        <v>10000</v>
      </c>
      <c r="D365" s="329">
        <f>-1982.44-349.84-13.95+72533.23+84329.85-1200-77.86-313.98-2689.85-752.54-457.06-80.66-1247.28-22.27-3.93+36975.8-11431.58-600+5.86-97.88</f>
        <v>172523.62000000002</v>
      </c>
      <c r="E365" s="329"/>
      <c r="F365" s="330">
        <f t="shared" si="104"/>
        <v>182523.62000000002</v>
      </c>
      <c r="G365" s="328">
        <f>929.33+1862.38+16317.62+48524.99+118.19-6.53-314.31-55.47+115.81-72.6-121.71-2842.36-680.74-120.13+300-333.96-1000-4496.88-598.95-298.27-1441.81-1201.53-212.04-271.42-47.9-114.08+500-36975.8+36000+16080.91+796.25-5.05</f>
        <v>70333.94</v>
      </c>
      <c r="H365" s="332"/>
      <c r="I365" s="333">
        <f t="shared" si="103"/>
        <v>252857.56000000003</v>
      </c>
      <c r="J365" s="267"/>
      <c r="K365" s="7"/>
      <c r="L365" s="31"/>
      <c r="M365" s="39"/>
      <c r="N365" s="7"/>
      <c r="O365" s="31"/>
      <c r="P365" s="195"/>
      <c r="Q365" s="91"/>
    </row>
    <row r="366" spans="1:17" ht="12.75">
      <c r="A366" s="41" t="s">
        <v>127</v>
      </c>
      <c r="B366" s="112"/>
      <c r="C366" s="123">
        <f>C367+C392</f>
        <v>163493.2</v>
      </c>
      <c r="D366" s="124">
        <f>D367+D392</f>
        <v>29359.05</v>
      </c>
      <c r="E366" s="124">
        <f>E367+E392</f>
        <v>0</v>
      </c>
      <c r="F366" s="245">
        <f>F367+F392</f>
        <v>192852.25000000003</v>
      </c>
      <c r="G366" s="204">
        <f aca="true" t="shared" si="106" ref="G366:Q366">G367+G392</f>
        <v>61957.17</v>
      </c>
      <c r="H366" s="205">
        <f t="shared" si="106"/>
        <v>0</v>
      </c>
      <c r="I366" s="206">
        <f t="shared" si="106"/>
        <v>254809.42000000004</v>
      </c>
      <c r="J366" s="268">
        <f t="shared" si="106"/>
        <v>0</v>
      </c>
      <c r="K366" s="125">
        <f t="shared" si="106"/>
        <v>0</v>
      </c>
      <c r="L366" s="125">
        <f t="shared" si="106"/>
        <v>159421.03000000003</v>
      </c>
      <c r="M366" s="125">
        <f t="shared" si="106"/>
        <v>0</v>
      </c>
      <c r="N366" s="125">
        <f t="shared" si="106"/>
        <v>0</v>
      </c>
      <c r="O366" s="125">
        <f t="shared" si="106"/>
        <v>159421.03000000003</v>
      </c>
      <c r="P366" s="125">
        <f t="shared" si="106"/>
        <v>0</v>
      </c>
      <c r="Q366" s="125">
        <f t="shared" si="106"/>
        <v>159421.03000000003</v>
      </c>
    </row>
    <row r="367" spans="1:17" ht="12.75">
      <c r="A367" s="50" t="s">
        <v>69</v>
      </c>
      <c r="B367" s="112"/>
      <c r="C367" s="135">
        <f>SUM(C369:C391)</f>
        <v>163493.2</v>
      </c>
      <c r="D367" s="136">
        <f>SUM(D369:D391)</f>
        <v>29359.05</v>
      </c>
      <c r="E367" s="136">
        <f>SUM(E369:E391)</f>
        <v>0</v>
      </c>
      <c r="F367" s="190">
        <f>SUM(F369:F391)</f>
        <v>192852.25000000003</v>
      </c>
      <c r="G367" s="214">
        <f aca="true" t="shared" si="107" ref="G367:Q367">SUM(G369:G391)</f>
        <v>61957.17</v>
      </c>
      <c r="H367" s="215">
        <f t="shared" si="107"/>
        <v>0</v>
      </c>
      <c r="I367" s="216">
        <f t="shared" si="107"/>
        <v>254809.42000000004</v>
      </c>
      <c r="J367" s="274">
        <f t="shared" si="107"/>
        <v>0</v>
      </c>
      <c r="K367" s="137">
        <f t="shared" si="107"/>
        <v>0</v>
      </c>
      <c r="L367" s="137">
        <f t="shared" si="107"/>
        <v>159421.03000000003</v>
      </c>
      <c r="M367" s="137">
        <f t="shared" si="107"/>
        <v>0</v>
      </c>
      <c r="N367" s="137">
        <f t="shared" si="107"/>
        <v>0</v>
      </c>
      <c r="O367" s="137">
        <f t="shared" si="107"/>
        <v>159421.03000000003</v>
      </c>
      <c r="P367" s="137">
        <f t="shared" si="107"/>
        <v>0</v>
      </c>
      <c r="Q367" s="137">
        <f t="shared" si="107"/>
        <v>159421.03000000003</v>
      </c>
    </row>
    <row r="368" spans="1:17" ht="12.75">
      <c r="A368" s="46" t="s">
        <v>38</v>
      </c>
      <c r="B368" s="108"/>
      <c r="C368" s="128"/>
      <c r="D368" s="126"/>
      <c r="E368" s="126"/>
      <c r="F368" s="246"/>
      <c r="G368" s="207"/>
      <c r="H368" s="209"/>
      <c r="I368" s="208"/>
      <c r="J368" s="267"/>
      <c r="K368" s="7"/>
      <c r="L368" s="31"/>
      <c r="M368" s="30"/>
      <c r="N368" s="7"/>
      <c r="O368" s="31"/>
      <c r="P368" s="195"/>
      <c r="Q368" s="91"/>
    </row>
    <row r="369" spans="1:17" ht="12.75">
      <c r="A369" s="57" t="s">
        <v>128</v>
      </c>
      <c r="B369" s="114"/>
      <c r="C369" s="128">
        <v>129589.6</v>
      </c>
      <c r="D369" s="126"/>
      <c r="E369" s="126"/>
      <c r="F369" s="246">
        <f>C369+D369+E369</f>
        <v>129589.6</v>
      </c>
      <c r="G369" s="207"/>
      <c r="H369" s="209"/>
      <c r="I369" s="208">
        <f>F369+G369+H369</f>
        <v>129589.6</v>
      </c>
      <c r="J369" s="267"/>
      <c r="K369" s="7"/>
      <c r="L369" s="31">
        <f>I369+J369+K369</f>
        <v>129589.6</v>
      </c>
      <c r="M369" s="30"/>
      <c r="N369" s="7"/>
      <c r="O369" s="31">
        <f>L369+M369+N369</f>
        <v>129589.6</v>
      </c>
      <c r="P369" s="195"/>
      <c r="Q369" s="91">
        <f>O369+P369</f>
        <v>129589.6</v>
      </c>
    </row>
    <row r="370" spans="1:17" ht="12.75" hidden="1">
      <c r="A370" s="44" t="s">
        <v>200</v>
      </c>
      <c r="B370" s="108"/>
      <c r="C370" s="128"/>
      <c r="D370" s="126"/>
      <c r="E370" s="126"/>
      <c r="F370" s="246">
        <f aca="true" t="shared" si="108" ref="F370:F391">C370+D370+E370</f>
        <v>0</v>
      </c>
      <c r="G370" s="207"/>
      <c r="H370" s="209"/>
      <c r="I370" s="208">
        <f aca="true" t="shared" si="109" ref="I370:I391">F370+G370+H370</f>
        <v>0</v>
      </c>
      <c r="J370" s="267"/>
      <c r="K370" s="7"/>
      <c r="L370" s="31">
        <f aca="true" t="shared" si="110" ref="L370:L391">I370+J370+K370</f>
        <v>0</v>
      </c>
      <c r="M370" s="30"/>
      <c r="N370" s="7"/>
      <c r="O370" s="31">
        <f aca="true" t="shared" si="111" ref="O370:O391">L370+M370+N370</f>
        <v>0</v>
      </c>
      <c r="P370" s="195"/>
      <c r="Q370" s="91">
        <f>O370+P370</f>
        <v>0</v>
      </c>
    </row>
    <row r="371" spans="1:17" ht="12.75">
      <c r="A371" s="44" t="s">
        <v>234</v>
      </c>
      <c r="B371" s="108"/>
      <c r="C371" s="128">
        <v>26000</v>
      </c>
      <c r="D371" s="126"/>
      <c r="E371" s="126"/>
      <c r="F371" s="246">
        <f t="shared" si="108"/>
        <v>26000</v>
      </c>
      <c r="G371" s="207"/>
      <c r="H371" s="209"/>
      <c r="I371" s="208">
        <f t="shared" si="109"/>
        <v>26000</v>
      </c>
      <c r="J371" s="267"/>
      <c r="K371" s="7"/>
      <c r="L371" s="31"/>
      <c r="M371" s="30"/>
      <c r="N371" s="7"/>
      <c r="O371" s="31"/>
      <c r="P371" s="195"/>
      <c r="Q371" s="91"/>
    </row>
    <row r="372" spans="1:17" ht="12.75">
      <c r="A372" s="44" t="s">
        <v>72</v>
      </c>
      <c r="B372" s="108"/>
      <c r="C372" s="128">
        <v>7903.6</v>
      </c>
      <c r="D372" s="126"/>
      <c r="E372" s="126"/>
      <c r="F372" s="246">
        <f t="shared" si="108"/>
        <v>7903.6</v>
      </c>
      <c r="G372" s="207"/>
      <c r="H372" s="209"/>
      <c r="I372" s="208">
        <f t="shared" si="109"/>
        <v>7903.6</v>
      </c>
      <c r="J372" s="267"/>
      <c r="K372" s="7"/>
      <c r="L372" s="31">
        <f t="shared" si="110"/>
        <v>7903.6</v>
      </c>
      <c r="M372" s="30"/>
      <c r="N372" s="7"/>
      <c r="O372" s="31">
        <f t="shared" si="111"/>
        <v>7903.6</v>
      </c>
      <c r="P372" s="195"/>
      <c r="Q372" s="91">
        <f>O372+P372</f>
        <v>7903.6</v>
      </c>
    </row>
    <row r="373" spans="1:17" ht="12.75" hidden="1">
      <c r="A373" s="44" t="s">
        <v>88</v>
      </c>
      <c r="B373" s="108"/>
      <c r="C373" s="128"/>
      <c r="D373" s="126"/>
      <c r="E373" s="126"/>
      <c r="F373" s="246">
        <f t="shared" si="108"/>
        <v>0</v>
      </c>
      <c r="G373" s="207"/>
      <c r="H373" s="209"/>
      <c r="I373" s="208">
        <f t="shared" si="109"/>
        <v>0</v>
      </c>
      <c r="J373" s="267"/>
      <c r="K373" s="7"/>
      <c r="L373" s="31">
        <f t="shared" si="110"/>
        <v>0</v>
      </c>
      <c r="M373" s="30"/>
      <c r="N373" s="7"/>
      <c r="O373" s="31">
        <f t="shared" si="111"/>
        <v>0</v>
      </c>
      <c r="P373" s="195"/>
      <c r="Q373" s="91">
        <f>O373+P373</f>
        <v>0</v>
      </c>
    </row>
    <row r="374" spans="1:17" ht="12.75">
      <c r="A374" s="44" t="s">
        <v>317</v>
      </c>
      <c r="B374" s="108"/>
      <c r="C374" s="128"/>
      <c r="D374" s="126">
        <v>657.56</v>
      </c>
      <c r="E374" s="126"/>
      <c r="F374" s="246">
        <f t="shared" si="108"/>
        <v>657.56</v>
      </c>
      <c r="G374" s="207"/>
      <c r="H374" s="209"/>
      <c r="I374" s="208">
        <f t="shared" si="109"/>
        <v>657.56</v>
      </c>
      <c r="J374" s="267"/>
      <c r="K374" s="7"/>
      <c r="L374" s="31"/>
      <c r="M374" s="30"/>
      <c r="N374" s="7"/>
      <c r="O374" s="31"/>
      <c r="P374" s="195"/>
      <c r="Q374" s="91"/>
    </row>
    <row r="375" spans="1:17" ht="12.75">
      <c r="A375" s="44" t="s">
        <v>318</v>
      </c>
      <c r="B375" s="108"/>
      <c r="C375" s="128"/>
      <c r="D375" s="126">
        <v>656.71</v>
      </c>
      <c r="E375" s="126"/>
      <c r="F375" s="246">
        <f t="shared" si="108"/>
        <v>656.71</v>
      </c>
      <c r="G375" s="207"/>
      <c r="H375" s="209"/>
      <c r="I375" s="208">
        <f t="shared" si="109"/>
        <v>656.71</v>
      </c>
      <c r="J375" s="267"/>
      <c r="K375" s="7"/>
      <c r="L375" s="31"/>
      <c r="M375" s="30"/>
      <c r="N375" s="7"/>
      <c r="O375" s="31"/>
      <c r="P375" s="195"/>
      <c r="Q375" s="91"/>
    </row>
    <row r="376" spans="1:17" ht="12.75">
      <c r="A376" s="44" t="s">
        <v>355</v>
      </c>
      <c r="B376" s="108"/>
      <c r="C376" s="128"/>
      <c r="D376" s="126"/>
      <c r="E376" s="126"/>
      <c r="F376" s="246"/>
      <c r="G376" s="207">
        <v>303.25</v>
      </c>
      <c r="H376" s="209"/>
      <c r="I376" s="208">
        <f t="shared" si="109"/>
        <v>303.25</v>
      </c>
      <c r="J376" s="267"/>
      <c r="K376" s="7"/>
      <c r="L376" s="31"/>
      <c r="M376" s="30"/>
      <c r="N376" s="7"/>
      <c r="O376" s="31"/>
      <c r="P376" s="195"/>
      <c r="Q376" s="91"/>
    </row>
    <row r="377" spans="1:17" ht="12.75">
      <c r="A377" s="53" t="s">
        <v>282</v>
      </c>
      <c r="B377" s="108">
        <v>3400</v>
      </c>
      <c r="C377" s="128"/>
      <c r="D377" s="126">
        <v>411.14</v>
      </c>
      <c r="E377" s="126"/>
      <c r="F377" s="246">
        <f t="shared" si="108"/>
        <v>411.14</v>
      </c>
      <c r="G377" s="207">
        <v>-300</v>
      </c>
      <c r="H377" s="209"/>
      <c r="I377" s="208">
        <f t="shared" si="109"/>
        <v>111.13999999999999</v>
      </c>
      <c r="J377" s="267"/>
      <c r="K377" s="7"/>
      <c r="L377" s="31">
        <f t="shared" si="110"/>
        <v>111.13999999999999</v>
      </c>
      <c r="M377" s="30"/>
      <c r="N377" s="7"/>
      <c r="O377" s="31">
        <f t="shared" si="111"/>
        <v>111.13999999999999</v>
      </c>
      <c r="P377" s="195"/>
      <c r="Q377" s="91">
        <f>O377+P377</f>
        <v>111.13999999999999</v>
      </c>
    </row>
    <row r="378" spans="1:17" ht="12.75">
      <c r="A378" s="53" t="s">
        <v>319</v>
      </c>
      <c r="B378" s="108">
        <v>3400</v>
      </c>
      <c r="C378" s="128"/>
      <c r="D378" s="126">
        <v>900.65</v>
      </c>
      <c r="E378" s="126"/>
      <c r="F378" s="246">
        <f t="shared" si="108"/>
        <v>900.65</v>
      </c>
      <c r="G378" s="207">
        <f>785.48+1270</f>
        <v>2055.48</v>
      </c>
      <c r="H378" s="209"/>
      <c r="I378" s="208">
        <f t="shared" si="109"/>
        <v>2956.13</v>
      </c>
      <c r="J378" s="267"/>
      <c r="K378" s="7"/>
      <c r="L378" s="31"/>
      <c r="M378" s="30"/>
      <c r="N378" s="7"/>
      <c r="O378" s="31"/>
      <c r="P378" s="195"/>
      <c r="Q378" s="91"/>
    </row>
    <row r="379" spans="1:17" ht="12.75">
      <c r="A379" s="53" t="s">
        <v>283</v>
      </c>
      <c r="B379" s="108">
        <v>4700</v>
      </c>
      <c r="C379" s="128"/>
      <c r="D379" s="126">
        <v>1598.35</v>
      </c>
      <c r="E379" s="126"/>
      <c r="F379" s="246">
        <f t="shared" si="108"/>
        <v>1598.35</v>
      </c>
      <c r="G379" s="207"/>
      <c r="H379" s="209"/>
      <c r="I379" s="208">
        <f t="shared" si="109"/>
        <v>1598.35</v>
      </c>
      <c r="J379" s="267"/>
      <c r="K379" s="7"/>
      <c r="L379" s="31"/>
      <c r="M379" s="30"/>
      <c r="N379" s="7"/>
      <c r="O379" s="31"/>
      <c r="P379" s="195"/>
      <c r="Q379" s="91"/>
    </row>
    <row r="380" spans="1:17" ht="12.75">
      <c r="A380" s="53" t="s">
        <v>310</v>
      </c>
      <c r="B380" s="108">
        <v>4700</v>
      </c>
      <c r="C380" s="128"/>
      <c r="D380" s="126">
        <v>539.28</v>
      </c>
      <c r="E380" s="126"/>
      <c r="F380" s="246">
        <f t="shared" si="108"/>
        <v>539.28</v>
      </c>
      <c r="G380" s="207">
        <f>1222.59+2500</f>
        <v>3722.59</v>
      </c>
      <c r="H380" s="209"/>
      <c r="I380" s="208">
        <f t="shared" si="109"/>
        <v>4261.87</v>
      </c>
      <c r="J380" s="267"/>
      <c r="K380" s="7"/>
      <c r="L380" s="31"/>
      <c r="M380" s="30"/>
      <c r="N380" s="7"/>
      <c r="O380" s="31"/>
      <c r="P380" s="195"/>
      <c r="Q380" s="91"/>
    </row>
    <row r="381" spans="1:17" ht="12.75">
      <c r="A381" s="44" t="s">
        <v>284</v>
      </c>
      <c r="B381" s="108">
        <v>4602</v>
      </c>
      <c r="C381" s="128"/>
      <c r="D381" s="126">
        <v>13663.24</v>
      </c>
      <c r="E381" s="126"/>
      <c r="F381" s="246">
        <f t="shared" si="108"/>
        <v>13663.24</v>
      </c>
      <c r="G381" s="207"/>
      <c r="H381" s="209"/>
      <c r="I381" s="208">
        <f t="shared" si="109"/>
        <v>13663.24</v>
      </c>
      <c r="J381" s="267"/>
      <c r="K381" s="7"/>
      <c r="L381" s="31">
        <f t="shared" si="110"/>
        <v>13663.24</v>
      </c>
      <c r="M381" s="30"/>
      <c r="N381" s="7"/>
      <c r="O381" s="31">
        <f t="shared" si="111"/>
        <v>13663.24</v>
      </c>
      <c r="P381" s="195"/>
      <c r="Q381" s="91">
        <f aca="true" t="shared" si="112" ref="Q381:Q391">O381+P381</f>
        <v>13663.24</v>
      </c>
    </row>
    <row r="382" spans="1:17" ht="12.75">
      <c r="A382" s="44" t="s">
        <v>336</v>
      </c>
      <c r="B382" s="108"/>
      <c r="C382" s="128"/>
      <c r="D382" s="126"/>
      <c r="E382" s="126"/>
      <c r="F382" s="246">
        <f t="shared" si="108"/>
        <v>0</v>
      </c>
      <c r="G382" s="207">
        <f>33000+11253.56</f>
        <v>44253.56</v>
      </c>
      <c r="H382" s="209"/>
      <c r="I382" s="208">
        <f t="shared" si="109"/>
        <v>44253.56</v>
      </c>
      <c r="J382" s="267"/>
      <c r="K382" s="7"/>
      <c r="L382" s="31"/>
      <c r="M382" s="30"/>
      <c r="N382" s="7"/>
      <c r="O382" s="31"/>
      <c r="P382" s="195"/>
      <c r="Q382" s="91"/>
    </row>
    <row r="383" spans="1:17" ht="12.75">
      <c r="A383" s="53" t="s">
        <v>285</v>
      </c>
      <c r="B383" s="108">
        <v>5303</v>
      </c>
      <c r="C383" s="128"/>
      <c r="D383" s="126">
        <v>4822.45</v>
      </c>
      <c r="E383" s="126"/>
      <c r="F383" s="246">
        <f t="shared" si="108"/>
        <v>4822.45</v>
      </c>
      <c r="G383" s="207"/>
      <c r="H383" s="209"/>
      <c r="I383" s="208">
        <f t="shared" si="109"/>
        <v>4822.45</v>
      </c>
      <c r="J383" s="267"/>
      <c r="K383" s="7"/>
      <c r="L383" s="31">
        <f t="shared" si="110"/>
        <v>4822.45</v>
      </c>
      <c r="M383" s="30"/>
      <c r="N383" s="7"/>
      <c r="O383" s="31">
        <f t="shared" si="111"/>
        <v>4822.45</v>
      </c>
      <c r="P383" s="195"/>
      <c r="Q383" s="91">
        <f t="shared" si="112"/>
        <v>4822.45</v>
      </c>
    </row>
    <row r="384" spans="1:17" ht="12.75">
      <c r="A384" s="53" t="s">
        <v>337</v>
      </c>
      <c r="B384" s="108"/>
      <c r="C384" s="128"/>
      <c r="D384" s="126"/>
      <c r="E384" s="126"/>
      <c r="F384" s="246">
        <f t="shared" si="108"/>
        <v>0</v>
      </c>
      <c r="G384" s="207">
        <f>7350+3961.18</f>
        <v>11311.18</v>
      </c>
      <c r="H384" s="209"/>
      <c r="I384" s="208">
        <f t="shared" si="109"/>
        <v>11311.18</v>
      </c>
      <c r="J384" s="267"/>
      <c r="K384" s="7"/>
      <c r="L384" s="31"/>
      <c r="M384" s="30"/>
      <c r="N384" s="7"/>
      <c r="O384" s="31"/>
      <c r="P384" s="195"/>
      <c r="Q384" s="91"/>
    </row>
    <row r="385" spans="1:17" ht="12.75">
      <c r="A385" s="53" t="s">
        <v>311</v>
      </c>
      <c r="B385" s="108">
        <v>4800</v>
      </c>
      <c r="C385" s="128"/>
      <c r="D385" s="126">
        <v>3357.89</v>
      </c>
      <c r="E385" s="126"/>
      <c r="F385" s="246">
        <f t="shared" si="108"/>
        <v>3357.89</v>
      </c>
      <c r="G385" s="207"/>
      <c r="H385" s="209"/>
      <c r="I385" s="208">
        <f t="shared" si="109"/>
        <v>3357.89</v>
      </c>
      <c r="J385" s="267"/>
      <c r="K385" s="7"/>
      <c r="L385" s="31"/>
      <c r="M385" s="30"/>
      <c r="N385" s="7"/>
      <c r="O385" s="31"/>
      <c r="P385" s="195"/>
      <c r="Q385" s="91"/>
    </row>
    <row r="386" spans="1:17" ht="12.75">
      <c r="A386" s="53" t="s">
        <v>286</v>
      </c>
      <c r="B386" s="108" t="s">
        <v>287</v>
      </c>
      <c r="C386" s="128"/>
      <c r="D386" s="126">
        <v>251.78</v>
      </c>
      <c r="E386" s="126"/>
      <c r="F386" s="246">
        <f t="shared" si="108"/>
        <v>251.78</v>
      </c>
      <c r="G386" s="207">
        <v>-251.78</v>
      </c>
      <c r="H386" s="209"/>
      <c r="I386" s="208">
        <f t="shared" si="109"/>
        <v>0</v>
      </c>
      <c r="J386" s="267"/>
      <c r="K386" s="7"/>
      <c r="L386" s="31">
        <f t="shared" si="110"/>
        <v>0</v>
      </c>
      <c r="M386" s="30"/>
      <c r="N386" s="7"/>
      <c r="O386" s="31">
        <f t="shared" si="111"/>
        <v>0</v>
      </c>
      <c r="P386" s="195"/>
      <c r="Q386" s="91">
        <f t="shared" si="112"/>
        <v>0</v>
      </c>
    </row>
    <row r="387" spans="1:17" ht="12.75">
      <c r="A387" s="53" t="s">
        <v>349</v>
      </c>
      <c r="B387" s="108"/>
      <c r="C387" s="128"/>
      <c r="D387" s="126"/>
      <c r="E387" s="126"/>
      <c r="F387" s="246">
        <f t="shared" si="108"/>
        <v>0</v>
      </c>
      <c r="G387" s="207">
        <f>280.11-248.22</f>
        <v>31.890000000000015</v>
      </c>
      <c r="H387" s="209"/>
      <c r="I387" s="208">
        <f t="shared" si="109"/>
        <v>31.890000000000015</v>
      </c>
      <c r="J387" s="267"/>
      <c r="K387" s="7"/>
      <c r="L387" s="31"/>
      <c r="M387" s="30"/>
      <c r="N387" s="7"/>
      <c r="O387" s="31"/>
      <c r="P387" s="195"/>
      <c r="Q387" s="91"/>
    </row>
    <row r="388" spans="1:17" ht="12.75">
      <c r="A388" s="44" t="s">
        <v>129</v>
      </c>
      <c r="B388" s="108">
        <v>13307</v>
      </c>
      <c r="C388" s="128"/>
      <c r="D388" s="126">
        <v>2500</v>
      </c>
      <c r="E388" s="126"/>
      <c r="F388" s="246">
        <f t="shared" si="108"/>
        <v>2500</v>
      </c>
      <c r="G388" s="207"/>
      <c r="H388" s="209"/>
      <c r="I388" s="208">
        <f t="shared" si="109"/>
        <v>2500</v>
      </c>
      <c r="J388" s="267"/>
      <c r="K388" s="7"/>
      <c r="L388" s="31">
        <f t="shared" si="110"/>
        <v>2500</v>
      </c>
      <c r="M388" s="30"/>
      <c r="N388" s="7"/>
      <c r="O388" s="31">
        <f t="shared" si="111"/>
        <v>2500</v>
      </c>
      <c r="P388" s="195"/>
      <c r="Q388" s="91">
        <f t="shared" si="112"/>
        <v>2500</v>
      </c>
    </row>
    <row r="389" spans="1:17" ht="12.75">
      <c r="A389" s="44" t="s">
        <v>197</v>
      </c>
      <c r="B389" s="108">
        <v>14018</v>
      </c>
      <c r="C389" s="128"/>
      <c r="D389" s="126"/>
      <c r="E389" s="126"/>
      <c r="F389" s="246">
        <f t="shared" si="108"/>
        <v>0</v>
      </c>
      <c r="G389" s="207">
        <f>490+280</f>
        <v>770</v>
      </c>
      <c r="H389" s="209"/>
      <c r="I389" s="208">
        <f t="shared" si="109"/>
        <v>770</v>
      </c>
      <c r="J389" s="267"/>
      <c r="K389" s="7"/>
      <c r="L389" s="31">
        <f t="shared" si="110"/>
        <v>770</v>
      </c>
      <c r="M389" s="30"/>
      <c r="N389" s="7"/>
      <c r="O389" s="31">
        <f t="shared" si="111"/>
        <v>770</v>
      </c>
      <c r="P389" s="195"/>
      <c r="Q389" s="91">
        <f t="shared" si="112"/>
        <v>770</v>
      </c>
    </row>
    <row r="390" spans="1:17" ht="12.75">
      <c r="A390" s="54" t="s">
        <v>215</v>
      </c>
      <c r="B390" s="111">
        <v>4359</v>
      </c>
      <c r="C390" s="138"/>
      <c r="D390" s="139"/>
      <c r="E390" s="139"/>
      <c r="F390" s="250">
        <f t="shared" si="108"/>
        <v>0</v>
      </c>
      <c r="G390" s="218">
        <v>61</v>
      </c>
      <c r="H390" s="219"/>
      <c r="I390" s="220">
        <f t="shared" si="109"/>
        <v>61</v>
      </c>
      <c r="J390" s="267"/>
      <c r="K390" s="7"/>
      <c r="L390" s="31">
        <f t="shared" si="110"/>
        <v>61</v>
      </c>
      <c r="M390" s="30"/>
      <c r="N390" s="7"/>
      <c r="O390" s="31">
        <f t="shared" si="111"/>
        <v>61</v>
      </c>
      <c r="P390" s="195"/>
      <c r="Q390" s="91">
        <f t="shared" si="112"/>
        <v>61</v>
      </c>
    </row>
    <row r="391" spans="1:17" ht="12.75" hidden="1">
      <c r="A391" s="44" t="s">
        <v>103</v>
      </c>
      <c r="B391" s="108"/>
      <c r="C391" s="128"/>
      <c r="D391" s="126"/>
      <c r="E391" s="126"/>
      <c r="F391" s="246">
        <f t="shared" si="108"/>
        <v>0</v>
      </c>
      <c r="G391" s="207"/>
      <c r="H391" s="209"/>
      <c r="I391" s="208">
        <f t="shared" si="109"/>
        <v>0</v>
      </c>
      <c r="J391" s="267"/>
      <c r="K391" s="7"/>
      <c r="L391" s="31">
        <f t="shared" si="110"/>
        <v>0</v>
      </c>
      <c r="M391" s="30"/>
      <c r="N391" s="7"/>
      <c r="O391" s="31">
        <f t="shared" si="111"/>
        <v>0</v>
      </c>
      <c r="P391" s="195"/>
      <c r="Q391" s="91">
        <f t="shared" si="112"/>
        <v>0</v>
      </c>
    </row>
    <row r="392" spans="1:17" ht="12.75" hidden="1">
      <c r="A392" s="50" t="s">
        <v>75</v>
      </c>
      <c r="B392" s="112"/>
      <c r="C392" s="135">
        <f>SUM(C394:C396)</f>
        <v>0</v>
      </c>
      <c r="D392" s="136">
        <f>SUM(D394:D396)</f>
        <v>0</v>
      </c>
      <c r="E392" s="136"/>
      <c r="F392" s="190">
        <f>SUM(F394:F396)</f>
        <v>0</v>
      </c>
      <c r="G392" s="214">
        <f aca="true" t="shared" si="113" ref="G392:Q392">SUM(G394:G396)</f>
        <v>0</v>
      </c>
      <c r="H392" s="215">
        <f t="shared" si="113"/>
        <v>0</v>
      </c>
      <c r="I392" s="216">
        <f t="shared" si="113"/>
        <v>0</v>
      </c>
      <c r="J392" s="274">
        <f t="shared" si="113"/>
        <v>0</v>
      </c>
      <c r="K392" s="137">
        <f t="shared" si="113"/>
        <v>0</v>
      </c>
      <c r="L392" s="137">
        <f t="shared" si="113"/>
        <v>0</v>
      </c>
      <c r="M392" s="137">
        <f t="shared" si="113"/>
        <v>0</v>
      </c>
      <c r="N392" s="137">
        <f t="shared" si="113"/>
        <v>0</v>
      </c>
      <c r="O392" s="137">
        <f t="shared" si="113"/>
        <v>0</v>
      </c>
      <c r="P392" s="137">
        <f t="shared" si="113"/>
        <v>0</v>
      </c>
      <c r="Q392" s="137">
        <f t="shared" si="113"/>
        <v>0</v>
      </c>
    </row>
    <row r="393" spans="1:17" ht="12.75" hidden="1">
      <c r="A393" s="46" t="s">
        <v>38</v>
      </c>
      <c r="B393" s="108"/>
      <c r="C393" s="128"/>
      <c r="D393" s="126"/>
      <c r="E393" s="126"/>
      <c r="F393" s="246"/>
      <c r="G393" s="207"/>
      <c r="H393" s="209"/>
      <c r="I393" s="208"/>
      <c r="J393" s="267"/>
      <c r="K393" s="7"/>
      <c r="L393" s="31"/>
      <c r="M393" s="30"/>
      <c r="N393" s="7"/>
      <c r="O393" s="31"/>
      <c r="P393" s="195"/>
      <c r="Q393" s="91"/>
    </row>
    <row r="394" spans="1:17" ht="12.75" hidden="1">
      <c r="A394" s="44" t="s">
        <v>118</v>
      </c>
      <c r="B394" s="108"/>
      <c r="C394" s="128"/>
      <c r="D394" s="126"/>
      <c r="E394" s="126"/>
      <c r="F394" s="246">
        <f>C394+D394+E394</f>
        <v>0</v>
      </c>
      <c r="G394" s="207"/>
      <c r="H394" s="209"/>
      <c r="I394" s="208">
        <f>F394+G394+H394</f>
        <v>0</v>
      </c>
      <c r="J394" s="267"/>
      <c r="K394" s="7"/>
      <c r="L394" s="31">
        <f>I394+J394+K394</f>
        <v>0</v>
      </c>
      <c r="M394" s="30"/>
      <c r="N394" s="7"/>
      <c r="O394" s="31">
        <f>L394+M394+N394</f>
        <v>0</v>
      </c>
      <c r="P394" s="195"/>
      <c r="Q394" s="91">
        <f>O394+P394</f>
        <v>0</v>
      </c>
    </row>
    <row r="395" spans="1:17" ht="12.75" hidden="1">
      <c r="A395" s="44" t="s">
        <v>76</v>
      </c>
      <c r="B395" s="108"/>
      <c r="C395" s="128"/>
      <c r="D395" s="126"/>
      <c r="E395" s="126"/>
      <c r="F395" s="246">
        <f>C395+D395+E395</f>
        <v>0</v>
      </c>
      <c r="G395" s="207"/>
      <c r="H395" s="209"/>
      <c r="I395" s="208">
        <f>F395+G395+H395</f>
        <v>0</v>
      </c>
      <c r="J395" s="267"/>
      <c r="K395" s="7"/>
      <c r="L395" s="31">
        <f>I395+J395+K395</f>
        <v>0</v>
      </c>
      <c r="M395" s="30"/>
      <c r="N395" s="7"/>
      <c r="O395" s="31">
        <f>L395+M395+N395</f>
        <v>0</v>
      </c>
      <c r="P395" s="195"/>
      <c r="Q395" s="91">
        <f>O395+P395</f>
        <v>0</v>
      </c>
    </row>
    <row r="396" spans="1:17" ht="12.75" hidden="1">
      <c r="A396" s="47" t="s">
        <v>103</v>
      </c>
      <c r="B396" s="111"/>
      <c r="C396" s="138"/>
      <c r="D396" s="139"/>
      <c r="E396" s="139"/>
      <c r="F396" s="250">
        <f>C396+D396+E396</f>
        <v>0</v>
      </c>
      <c r="G396" s="218"/>
      <c r="H396" s="219"/>
      <c r="I396" s="220">
        <f>F396+G396+H396</f>
        <v>0</v>
      </c>
      <c r="J396" s="267"/>
      <c r="K396" s="7"/>
      <c r="L396" s="31">
        <f>I396+J396+K396</f>
        <v>0</v>
      </c>
      <c r="M396" s="30"/>
      <c r="N396" s="7"/>
      <c r="O396" s="31">
        <f>L396+M396+N396</f>
        <v>0</v>
      </c>
      <c r="P396" s="195"/>
      <c r="Q396" s="91">
        <f>O396+P396</f>
        <v>0</v>
      </c>
    </row>
    <row r="397" spans="1:17" ht="12.75">
      <c r="A397" s="45" t="s">
        <v>309</v>
      </c>
      <c r="B397" s="112"/>
      <c r="C397" s="123">
        <f>C398+C409</f>
        <v>64191.6</v>
      </c>
      <c r="D397" s="124">
        <f>D398+D409</f>
        <v>21965.87</v>
      </c>
      <c r="E397" s="124">
        <f>E398+E409</f>
        <v>3000</v>
      </c>
      <c r="F397" s="245">
        <f>F398+F409</f>
        <v>89157.47</v>
      </c>
      <c r="G397" s="204">
        <f aca="true" t="shared" si="114" ref="G397:Q397">G398+G409</f>
        <v>19643.33</v>
      </c>
      <c r="H397" s="205">
        <f t="shared" si="114"/>
        <v>0</v>
      </c>
      <c r="I397" s="206">
        <f t="shared" si="114"/>
        <v>108800.80000000002</v>
      </c>
      <c r="J397" s="268">
        <f t="shared" si="114"/>
        <v>0</v>
      </c>
      <c r="K397" s="125">
        <f t="shared" si="114"/>
        <v>0</v>
      </c>
      <c r="L397" s="125">
        <f t="shared" si="114"/>
        <v>37078.9</v>
      </c>
      <c r="M397" s="125">
        <f t="shared" si="114"/>
        <v>0</v>
      </c>
      <c r="N397" s="125">
        <f t="shared" si="114"/>
        <v>0</v>
      </c>
      <c r="O397" s="125">
        <f t="shared" si="114"/>
        <v>37078.9</v>
      </c>
      <c r="P397" s="125">
        <f t="shared" si="114"/>
        <v>0</v>
      </c>
      <c r="Q397" s="125">
        <f t="shared" si="114"/>
        <v>37078.9</v>
      </c>
    </row>
    <row r="398" spans="1:17" ht="12.75">
      <c r="A398" s="50" t="s">
        <v>69</v>
      </c>
      <c r="B398" s="112"/>
      <c r="C398" s="135">
        <f>SUM(C400:C408)</f>
        <v>59191.6</v>
      </c>
      <c r="D398" s="136">
        <f>SUM(D400:D408)</f>
        <v>6543.969999999999</v>
      </c>
      <c r="E398" s="136">
        <f>SUM(E400:E408)</f>
        <v>0</v>
      </c>
      <c r="F398" s="190">
        <f>SUM(F400:F408)</f>
        <v>65735.57</v>
      </c>
      <c r="G398" s="214">
        <f aca="true" t="shared" si="115" ref="G398:Q398">SUM(G400:G408)</f>
        <v>8943.33</v>
      </c>
      <c r="H398" s="215">
        <f t="shared" si="115"/>
        <v>0</v>
      </c>
      <c r="I398" s="216">
        <f t="shared" si="115"/>
        <v>74678.90000000001</v>
      </c>
      <c r="J398" s="274">
        <f t="shared" si="115"/>
        <v>0</v>
      </c>
      <c r="K398" s="137">
        <f t="shared" si="115"/>
        <v>0</v>
      </c>
      <c r="L398" s="137">
        <f t="shared" si="115"/>
        <v>26978.9</v>
      </c>
      <c r="M398" s="137">
        <f t="shared" si="115"/>
        <v>0</v>
      </c>
      <c r="N398" s="137">
        <f t="shared" si="115"/>
        <v>0</v>
      </c>
      <c r="O398" s="137">
        <f t="shared" si="115"/>
        <v>26978.9</v>
      </c>
      <c r="P398" s="137">
        <f t="shared" si="115"/>
        <v>0</v>
      </c>
      <c r="Q398" s="137">
        <f t="shared" si="115"/>
        <v>26978.9</v>
      </c>
    </row>
    <row r="399" spans="1:17" ht="12.75">
      <c r="A399" s="46" t="s">
        <v>38</v>
      </c>
      <c r="B399" s="108"/>
      <c r="C399" s="128"/>
      <c r="D399" s="126"/>
      <c r="E399" s="126"/>
      <c r="F399" s="245"/>
      <c r="G399" s="207"/>
      <c r="H399" s="209"/>
      <c r="I399" s="206"/>
      <c r="J399" s="267"/>
      <c r="K399" s="7"/>
      <c r="L399" s="29"/>
      <c r="M399" s="30"/>
      <c r="N399" s="7"/>
      <c r="O399" s="29"/>
      <c r="P399" s="195"/>
      <c r="Q399" s="91"/>
    </row>
    <row r="400" spans="1:17" ht="12.75">
      <c r="A400" s="44" t="s">
        <v>72</v>
      </c>
      <c r="B400" s="108"/>
      <c r="C400" s="128">
        <v>12191.6</v>
      </c>
      <c r="D400" s="126">
        <f>300+2250+200</f>
        <v>2750</v>
      </c>
      <c r="E400" s="126"/>
      <c r="F400" s="246">
        <f>C400+D400+E400</f>
        <v>14941.6</v>
      </c>
      <c r="G400" s="207">
        <f>750-200+77.48</f>
        <v>627.48</v>
      </c>
      <c r="H400" s="209"/>
      <c r="I400" s="208">
        <f>F400+G400+H400</f>
        <v>15569.08</v>
      </c>
      <c r="J400" s="267"/>
      <c r="K400" s="7"/>
      <c r="L400" s="31">
        <f>I400+J400+K400</f>
        <v>15569.08</v>
      </c>
      <c r="M400" s="30"/>
      <c r="N400" s="7"/>
      <c r="O400" s="31">
        <f>L400+M400+N400</f>
        <v>15569.08</v>
      </c>
      <c r="P400" s="195"/>
      <c r="Q400" s="91">
        <f>O400+P400</f>
        <v>15569.08</v>
      </c>
    </row>
    <row r="401" spans="1:17" ht="12.75" hidden="1">
      <c r="A401" s="44" t="s">
        <v>130</v>
      </c>
      <c r="B401" s="108"/>
      <c r="C401" s="128"/>
      <c r="D401" s="126"/>
      <c r="E401" s="126"/>
      <c r="F401" s="246">
        <f aca="true" t="shared" si="116" ref="F401:F408">C401+D401+E401</f>
        <v>0</v>
      </c>
      <c r="G401" s="207"/>
      <c r="H401" s="209"/>
      <c r="I401" s="208">
        <f aca="true" t="shared" si="117" ref="I401:I408">F401+G401+H401</f>
        <v>0</v>
      </c>
      <c r="J401" s="267"/>
      <c r="K401" s="7"/>
      <c r="L401" s="31">
        <f aca="true" t="shared" si="118" ref="L401:L408">I401+J401+K401</f>
        <v>0</v>
      </c>
      <c r="M401" s="30"/>
      <c r="N401" s="7"/>
      <c r="O401" s="31">
        <f aca="true" t="shared" si="119" ref="O401:O408">L401+M401+N401</f>
        <v>0</v>
      </c>
      <c r="P401" s="195"/>
      <c r="Q401" s="91">
        <f>O401+P401</f>
        <v>0</v>
      </c>
    </row>
    <row r="402" spans="1:17" ht="12.75" hidden="1">
      <c r="A402" s="44" t="s">
        <v>131</v>
      </c>
      <c r="B402" s="108"/>
      <c r="C402" s="128"/>
      <c r="D402" s="126"/>
      <c r="E402" s="126"/>
      <c r="F402" s="246">
        <f t="shared" si="116"/>
        <v>0</v>
      </c>
      <c r="G402" s="207"/>
      <c r="H402" s="209"/>
      <c r="I402" s="208">
        <f t="shared" si="117"/>
        <v>0</v>
      </c>
      <c r="J402" s="267"/>
      <c r="K402" s="7"/>
      <c r="L402" s="31">
        <f t="shared" si="118"/>
        <v>0</v>
      </c>
      <c r="M402" s="30"/>
      <c r="N402" s="7"/>
      <c r="O402" s="31">
        <f t="shared" si="119"/>
        <v>0</v>
      </c>
      <c r="P402" s="195"/>
      <c r="Q402" s="91">
        <f>O402+P402</f>
        <v>0</v>
      </c>
    </row>
    <row r="403" spans="1:17" ht="12.75">
      <c r="A403" s="48" t="s">
        <v>242</v>
      </c>
      <c r="B403" s="108"/>
      <c r="C403" s="128">
        <v>47000</v>
      </c>
      <c r="D403" s="126"/>
      <c r="E403" s="126"/>
      <c r="F403" s="246">
        <f>C403+D403+E403</f>
        <v>47000</v>
      </c>
      <c r="G403" s="207"/>
      <c r="H403" s="209"/>
      <c r="I403" s="208">
        <f t="shared" si="117"/>
        <v>47000</v>
      </c>
      <c r="J403" s="267"/>
      <c r="K403" s="7"/>
      <c r="L403" s="31"/>
      <c r="M403" s="30"/>
      <c r="N403" s="7"/>
      <c r="O403" s="31"/>
      <c r="P403" s="195"/>
      <c r="Q403" s="91"/>
    </row>
    <row r="404" spans="1:17" ht="12.75">
      <c r="A404" s="44" t="s">
        <v>103</v>
      </c>
      <c r="B404" s="108"/>
      <c r="C404" s="128"/>
      <c r="D404" s="126">
        <f>2843.97+750</f>
        <v>3593.97</v>
      </c>
      <c r="E404" s="126"/>
      <c r="F404" s="246">
        <f t="shared" si="116"/>
        <v>3593.97</v>
      </c>
      <c r="G404" s="207">
        <f>1000+200</f>
        <v>1200</v>
      </c>
      <c r="H404" s="209"/>
      <c r="I404" s="208">
        <f t="shared" si="117"/>
        <v>4793.969999999999</v>
      </c>
      <c r="J404" s="267"/>
      <c r="K404" s="7"/>
      <c r="L404" s="31">
        <f t="shared" si="118"/>
        <v>4793.969999999999</v>
      </c>
      <c r="M404" s="30"/>
      <c r="N404" s="7"/>
      <c r="O404" s="31">
        <f t="shared" si="119"/>
        <v>4793.969999999999</v>
      </c>
      <c r="P404" s="195"/>
      <c r="Q404" s="91">
        <f>O404+P404</f>
        <v>4793.969999999999</v>
      </c>
    </row>
    <row r="405" spans="1:17" ht="12.75">
      <c r="A405" s="44" t="s">
        <v>88</v>
      </c>
      <c r="B405" s="108"/>
      <c r="C405" s="128"/>
      <c r="D405" s="126">
        <v>200</v>
      </c>
      <c r="E405" s="126"/>
      <c r="F405" s="246">
        <f t="shared" si="116"/>
        <v>200</v>
      </c>
      <c r="G405" s="207">
        <v>750</v>
      </c>
      <c r="H405" s="209"/>
      <c r="I405" s="208">
        <f t="shared" si="117"/>
        <v>950</v>
      </c>
      <c r="J405" s="271"/>
      <c r="K405" s="7"/>
      <c r="L405" s="31">
        <f t="shared" si="118"/>
        <v>950</v>
      </c>
      <c r="M405" s="30"/>
      <c r="N405" s="7"/>
      <c r="O405" s="31">
        <f t="shared" si="119"/>
        <v>950</v>
      </c>
      <c r="P405" s="195"/>
      <c r="Q405" s="91">
        <f>O405+P405</f>
        <v>950</v>
      </c>
    </row>
    <row r="406" spans="1:17" ht="12.75">
      <c r="A406" s="44" t="s">
        <v>348</v>
      </c>
      <c r="B406" s="108"/>
      <c r="C406" s="128"/>
      <c r="D406" s="126"/>
      <c r="E406" s="126"/>
      <c r="F406" s="246">
        <f t="shared" si="116"/>
        <v>0</v>
      </c>
      <c r="G406" s="207">
        <v>700</v>
      </c>
      <c r="H406" s="209"/>
      <c r="I406" s="208">
        <f t="shared" si="117"/>
        <v>700</v>
      </c>
      <c r="J406" s="271"/>
      <c r="K406" s="7"/>
      <c r="L406" s="31"/>
      <c r="M406" s="30"/>
      <c r="N406" s="7"/>
      <c r="O406" s="31"/>
      <c r="P406" s="195"/>
      <c r="Q406" s="91"/>
    </row>
    <row r="407" spans="1:17" ht="12.75" hidden="1">
      <c r="A407" s="44" t="s">
        <v>230</v>
      </c>
      <c r="B407" s="108"/>
      <c r="C407" s="128"/>
      <c r="D407" s="126"/>
      <c r="E407" s="126"/>
      <c r="F407" s="246">
        <f t="shared" si="116"/>
        <v>0</v>
      </c>
      <c r="G407" s="207"/>
      <c r="H407" s="209"/>
      <c r="I407" s="208">
        <f t="shared" si="117"/>
        <v>0</v>
      </c>
      <c r="J407" s="271"/>
      <c r="K407" s="7"/>
      <c r="L407" s="31">
        <f t="shared" si="118"/>
        <v>0</v>
      </c>
      <c r="M407" s="30"/>
      <c r="N407" s="7"/>
      <c r="O407" s="31">
        <f t="shared" si="119"/>
        <v>0</v>
      </c>
      <c r="P407" s="195"/>
      <c r="Q407" s="91">
        <f>O407+P407</f>
        <v>0</v>
      </c>
    </row>
    <row r="408" spans="1:17" ht="12.75">
      <c r="A408" s="44" t="s">
        <v>132</v>
      </c>
      <c r="B408" s="108">
        <v>14004</v>
      </c>
      <c r="C408" s="128"/>
      <c r="D408" s="126"/>
      <c r="E408" s="126"/>
      <c r="F408" s="246">
        <f t="shared" si="116"/>
        <v>0</v>
      </c>
      <c r="G408" s="207">
        <f>5477+188.85</f>
        <v>5665.85</v>
      </c>
      <c r="H408" s="209"/>
      <c r="I408" s="208">
        <f t="shared" si="117"/>
        <v>5665.85</v>
      </c>
      <c r="J408" s="267"/>
      <c r="K408" s="7"/>
      <c r="L408" s="31">
        <f t="shared" si="118"/>
        <v>5665.85</v>
      </c>
      <c r="M408" s="30"/>
      <c r="N408" s="7"/>
      <c r="O408" s="31">
        <f t="shared" si="119"/>
        <v>5665.85</v>
      </c>
      <c r="P408" s="195"/>
      <c r="Q408" s="91">
        <f>O408+P408</f>
        <v>5665.85</v>
      </c>
    </row>
    <row r="409" spans="1:17" ht="12.75">
      <c r="A409" s="50" t="s">
        <v>75</v>
      </c>
      <c r="B409" s="112"/>
      <c r="C409" s="135">
        <f>SUM(C411:C416)</f>
        <v>5000</v>
      </c>
      <c r="D409" s="136">
        <f>SUM(D411:D416)</f>
        <v>15421.9</v>
      </c>
      <c r="E409" s="136">
        <f>SUM(E411:E416)</f>
        <v>3000</v>
      </c>
      <c r="F409" s="190">
        <f>SUM(F411:F416)</f>
        <v>23421.9</v>
      </c>
      <c r="G409" s="214">
        <f aca="true" t="shared" si="120" ref="G409:Q409">SUM(G411:G416)</f>
        <v>10700</v>
      </c>
      <c r="H409" s="215">
        <f t="shared" si="120"/>
        <v>0</v>
      </c>
      <c r="I409" s="216">
        <f t="shared" si="120"/>
        <v>34121.9</v>
      </c>
      <c r="J409" s="274">
        <f t="shared" si="120"/>
        <v>0</v>
      </c>
      <c r="K409" s="137">
        <f t="shared" si="120"/>
        <v>0</v>
      </c>
      <c r="L409" s="137">
        <f t="shared" si="120"/>
        <v>10100</v>
      </c>
      <c r="M409" s="137">
        <f t="shared" si="120"/>
        <v>0</v>
      </c>
      <c r="N409" s="137">
        <f t="shared" si="120"/>
        <v>0</v>
      </c>
      <c r="O409" s="137">
        <f t="shared" si="120"/>
        <v>10100</v>
      </c>
      <c r="P409" s="137">
        <f t="shared" si="120"/>
        <v>0</v>
      </c>
      <c r="Q409" s="137">
        <f t="shared" si="120"/>
        <v>10100</v>
      </c>
    </row>
    <row r="410" spans="1:17" ht="12.75">
      <c r="A410" s="46" t="s">
        <v>38</v>
      </c>
      <c r="B410" s="108"/>
      <c r="C410" s="128"/>
      <c r="D410" s="126"/>
      <c r="E410" s="126"/>
      <c r="F410" s="246"/>
      <c r="G410" s="207"/>
      <c r="H410" s="209"/>
      <c r="I410" s="208"/>
      <c r="J410" s="267"/>
      <c r="K410" s="7"/>
      <c r="L410" s="31"/>
      <c r="M410" s="30"/>
      <c r="N410" s="7"/>
      <c r="O410" s="31"/>
      <c r="P410" s="195"/>
      <c r="Q410" s="91"/>
    </row>
    <row r="411" spans="1:17" ht="12.75">
      <c r="A411" s="48" t="s">
        <v>92</v>
      </c>
      <c r="B411" s="108"/>
      <c r="C411" s="128"/>
      <c r="D411" s="126">
        <f>500+1000+1000+600</f>
        <v>3100</v>
      </c>
      <c r="E411" s="126"/>
      <c r="F411" s="246">
        <f aca="true" t="shared" si="121" ref="F411:F416">C411+D411+E411</f>
        <v>3100</v>
      </c>
      <c r="G411" s="207">
        <v>1550</v>
      </c>
      <c r="H411" s="209"/>
      <c r="I411" s="208">
        <f aca="true" t="shared" si="122" ref="I411:I416">F411+G411+H411</f>
        <v>4650</v>
      </c>
      <c r="J411" s="267"/>
      <c r="K411" s="7"/>
      <c r="L411" s="31">
        <f>I411+J411+K411</f>
        <v>4650</v>
      </c>
      <c r="M411" s="30"/>
      <c r="N411" s="7"/>
      <c r="O411" s="31">
        <f>L411+M411+N411</f>
        <v>4650</v>
      </c>
      <c r="P411" s="195"/>
      <c r="Q411" s="91">
        <f>O411+P411</f>
        <v>4650</v>
      </c>
    </row>
    <row r="412" spans="1:17" ht="12.75">
      <c r="A412" s="48" t="s">
        <v>312</v>
      </c>
      <c r="B412" s="108"/>
      <c r="C412" s="128"/>
      <c r="D412" s="126">
        <v>12021.9</v>
      </c>
      <c r="E412" s="126"/>
      <c r="F412" s="246">
        <f t="shared" si="121"/>
        <v>12021.9</v>
      </c>
      <c r="G412" s="207"/>
      <c r="H412" s="209"/>
      <c r="I412" s="208">
        <f t="shared" si="122"/>
        <v>12021.9</v>
      </c>
      <c r="J412" s="267"/>
      <c r="K412" s="7"/>
      <c r="L412" s="31"/>
      <c r="M412" s="30"/>
      <c r="N412" s="7"/>
      <c r="O412" s="31"/>
      <c r="P412" s="195"/>
      <c r="Q412" s="91"/>
    </row>
    <row r="413" spans="1:17" ht="12.75" hidden="1">
      <c r="A413" s="44" t="s">
        <v>103</v>
      </c>
      <c r="B413" s="108"/>
      <c r="C413" s="128"/>
      <c r="D413" s="126"/>
      <c r="E413" s="126"/>
      <c r="F413" s="246">
        <f t="shared" si="121"/>
        <v>0</v>
      </c>
      <c r="G413" s="207"/>
      <c r="H413" s="209"/>
      <c r="I413" s="208">
        <f t="shared" si="122"/>
        <v>0</v>
      </c>
      <c r="J413" s="267"/>
      <c r="K413" s="7"/>
      <c r="L413" s="31">
        <f>I413+J413+K413</f>
        <v>0</v>
      </c>
      <c r="M413" s="30"/>
      <c r="N413" s="7"/>
      <c r="O413" s="31">
        <f>L413+M413+N413</f>
        <v>0</v>
      </c>
      <c r="P413" s="195"/>
      <c r="Q413" s="91">
        <f>O413+P413</f>
        <v>0</v>
      </c>
    </row>
    <row r="414" spans="1:17" ht="12.75">
      <c r="A414" s="44" t="s">
        <v>331</v>
      </c>
      <c r="B414" s="108"/>
      <c r="C414" s="128"/>
      <c r="D414" s="126"/>
      <c r="E414" s="126">
        <v>3000</v>
      </c>
      <c r="F414" s="246">
        <f t="shared" si="121"/>
        <v>3000</v>
      </c>
      <c r="G414" s="207"/>
      <c r="H414" s="209"/>
      <c r="I414" s="208">
        <f t="shared" si="122"/>
        <v>3000</v>
      </c>
      <c r="J414" s="267"/>
      <c r="K414" s="7"/>
      <c r="L414" s="31"/>
      <c r="M414" s="30"/>
      <c r="N414" s="7"/>
      <c r="O414" s="31"/>
      <c r="P414" s="195"/>
      <c r="Q414" s="91"/>
    </row>
    <row r="415" spans="1:17" ht="12.75">
      <c r="A415" s="48" t="s">
        <v>313</v>
      </c>
      <c r="B415" s="108"/>
      <c r="C415" s="128"/>
      <c r="D415" s="126"/>
      <c r="E415" s="126"/>
      <c r="F415" s="246">
        <f t="shared" si="121"/>
        <v>0</v>
      </c>
      <c r="G415" s="207">
        <v>9000</v>
      </c>
      <c r="H415" s="209"/>
      <c r="I415" s="208">
        <f t="shared" si="122"/>
        <v>9000</v>
      </c>
      <c r="J415" s="267"/>
      <c r="K415" s="7"/>
      <c r="L415" s="31"/>
      <c r="M415" s="30"/>
      <c r="N415" s="7"/>
      <c r="O415" s="31"/>
      <c r="P415" s="195"/>
      <c r="Q415" s="91"/>
    </row>
    <row r="416" spans="1:17" ht="12.75">
      <c r="A416" s="318" t="s">
        <v>332</v>
      </c>
      <c r="B416" s="111"/>
      <c r="C416" s="138">
        <v>5000</v>
      </c>
      <c r="D416" s="139">
        <v>300</v>
      </c>
      <c r="E416" s="139"/>
      <c r="F416" s="250">
        <f t="shared" si="121"/>
        <v>5300</v>
      </c>
      <c r="G416" s="218">
        <v>150</v>
      </c>
      <c r="H416" s="219"/>
      <c r="I416" s="220">
        <f t="shared" si="122"/>
        <v>5450</v>
      </c>
      <c r="J416" s="12"/>
      <c r="K416" s="10"/>
      <c r="L416" s="35">
        <f>I416+J416+K416</f>
        <v>5450</v>
      </c>
      <c r="M416" s="34"/>
      <c r="N416" s="10"/>
      <c r="O416" s="35">
        <f>L416+M416+N416</f>
        <v>5450</v>
      </c>
      <c r="P416" s="200"/>
      <c r="Q416" s="93">
        <f>O416+P416</f>
        <v>5450</v>
      </c>
    </row>
    <row r="417" spans="1:17" ht="12.75">
      <c r="A417" s="41" t="s">
        <v>133</v>
      </c>
      <c r="B417" s="112"/>
      <c r="C417" s="123">
        <f>C418+C421</f>
        <v>2042.3</v>
      </c>
      <c r="D417" s="124">
        <f>D418+D421</f>
        <v>346.06</v>
      </c>
      <c r="E417" s="124">
        <f>E418+E421</f>
        <v>0</v>
      </c>
      <c r="F417" s="245">
        <f>F418+F421</f>
        <v>2388.36</v>
      </c>
      <c r="G417" s="204">
        <f aca="true" t="shared" si="123" ref="G417:Q417">G418+G421</f>
        <v>147.7</v>
      </c>
      <c r="H417" s="205">
        <f t="shared" si="123"/>
        <v>0</v>
      </c>
      <c r="I417" s="206">
        <f t="shared" si="123"/>
        <v>2536.06</v>
      </c>
      <c r="J417" s="268">
        <f t="shared" si="123"/>
        <v>0</v>
      </c>
      <c r="K417" s="125">
        <f t="shared" si="123"/>
        <v>0</v>
      </c>
      <c r="L417" s="125">
        <f t="shared" si="123"/>
        <v>2536.06</v>
      </c>
      <c r="M417" s="125">
        <f t="shared" si="123"/>
        <v>0</v>
      </c>
      <c r="N417" s="125">
        <f t="shared" si="123"/>
        <v>0</v>
      </c>
      <c r="O417" s="125">
        <f t="shared" si="123"/>
        <v>2536.06</v>
      </c>
      <c r="P417" s="125">
        <f t="shared" si="123"/>
        <v>0</v>
      </c>
      <c r="Q417" s="125">
        <f t="shared" si="123"/>
        <v>2536.06</v>
      </c>
    </row>
    <row r="418" spans="1:17" ht="12.75">
      <c r="A418" s="50" t="s">
        <v>69</v>
      </c>
      <c r="B418" s="112"/>
      <c r="C418" s="135">
        <f>SUM(C420:C420)</f>
        <v>2042.3</v>
      </c>
      <c r="D418" s="136">
        <f>SUM(D420:D420)</f>
        <v>346.06</v>
      </c>
      <c r="E418" s="136">
        <f>SUM(E420:E420)</f>
        <v>0</v>
      </c>
      <c r="F418" s="190">
        <f>SUM(F420:F420)</f>
        <v>2388.36</v>
      </c>
      <c r="G418" s="214">
        <f aca="true" t="shared" si="124" ref="G418:Q418">SUM(G420:G420)</f>
        <v>147.7</v>
      </c>
      <c r="H418" s="215">
        <f t="shared" si="124"/>
        <v>0</v>
      </c>
      <c r="I418" s="216">
        <f t="shared" si="124"/>
        <v>2536.06</v>
      </c>
      <c r="J418" s="274">
        <f t="shared" si="124"/>
        <v>0</v>
      </c>
      <c r="K418" s="137">
        <f t="shared" si="124"/>
        <v>0</v>
      </c>
      <c r="L418" s="137">
        <f t="shared" si="124"/>
        <v>2536.06</v>
      </c>
      <c r="M418" s="137">
        <f t="shared" si="124"/>
        <v>0</v>
      </c>
      <c r="N418" s="137">
        <f t="shared" si="124"/>
        <v>0</v>
      </c>
      <c r="O418" s="137">
        <f t="shared" si="124"/>
        <v>2536.06</v>
      </c>
      <c r="P418" s="137">
        <f t="shared" si="124"/>
        <v>0</v>
      </c>
      <c r="Q418" s="137">
        <f t="shared" si="124"/>
        <v>2536.06</v>
      </c>
    </row>
    <row r="419" spans="1:17" ht="12.75">
      <c r="A419" s="46" t="s">
        <v>38</v>
      </c>
      <c r="B419" s="108"/>
      <c r="C419" s="128"/>
      <c r="D419" s="126"/>
      <c r="E419" s="126"/>
      <c r="F419" s="245"/>
      <c r="G419" s="207"/>
      <c r="H419" s="209"/>
      <c r="I419" s="206"/>
      <c r="J419" s="267"/>
      <c r="K419" s="7"/>
      <c r="L419" s="29"/>
      <c r="M419" s="30"/>
      <c r="N419" s="7"/>
      <c r="O419" s="29"/>
      <c r="P419" s="195"/>
      <c r="Q419" s="91"/>
    </row>
    <row r="420" spans="1:17" ht="12.75">
      <c r="A420" s="47" t="s">
        <v>72</v>
      </c>
      <c r="B420" s="111"/>
      <c r="C420" s="150">
        <v>2042.3</v>
      </c>
      <c r="D420" s="139">
        <v>346.06</v>
      </c>
      <c r="E420" s="139"/>
      <c r="F420" s="250">
        <f>C420+D420+E420</f>
        <v>2388.36</v>
      </c>
      <c r="G420" s="218">
        <v>147.7</v>
      </c>
      <c r="H420" s="219"/>
      <c r="I420" s="220">
        <f>F420+G420+H420</f>
        <v>2536.06</v>
      </c>
      <c r="J420" s="267"/>
      <c r="K420" s="7"/>
      <c r="L420" s="31">
        <f>I420+J420+K420</f>
        <v>2536.06</v>
      </c>
      <c r="M420" s="30"/>
      <c r="N420" s="7"/>
      <c r="O420" s="31">
        <f>L420+M420+N420</f>
        <v>2536.06</v>
      </c>
      <c r="P420" s="195"/>
      <c r="Q420" s="91">
        <f>O420+P420</f>
        <v>2536.06</v>
      </c>
    </row>
    <row r="421" spans="1:17" ht="12.75" hidden="1">
      <c r="A421" s="50" t="s">
        <v>75</v>
      </c>
      <c r="B421" s="112"/>
      <c r="C421" s="135">
        <f aca="true" t="shared" si="125" ref="C421:Q421">SUM(C423:C423)</f>
        <v>0</v>
      </c>
      <c r="D421" s="136">
        <f t="shared" si="125"/>
        <v>0</v>
      </c>
      <c r="E421" s="136"/>
      <c r="F421" s="190">
        <f t="shared" si="125"/>
        <v>0</v>
      </c>
      <c r="G421" s="214">
        <f t="shared" si="125"/>
        <v>0</v>
      </c>
      <c r="H421" s="215">
        <f t="shared" si="125"/>
        <v>0</v>
      </c>
      <c r="I421" s="216">
        <f t="shared" si="125"/>
        <v>0</v>
      </c>
      <c r="J421" s="274">
        <f t="shared" si="125"/>
        <v>0</v>
      </c>
      <c r="K421" s="137">
        <f t="shared" si="125"/>
        <v>0</v>
      </c>
      <c r="L421" s="137">
        <f t="shared" si="125"/>
        <v>0</v>
      </c>
      <c r="M421" s="137">
        <f t="shared" si="125"/>
        <v>0</v>
      </c>
      <c r="N421" s="137">
        <f t="shared" si="125"/>
        <v>0</v>
      </c>
      <c r="O421" s="137">
        <f t="shared" si="125"/>
        <v>0</v>
      </c>
      <c r="P421" s="137">
        <f t="shared" si="125"/>
        <v>0</v>
      </c>
      <c r="Q421" s="137">
        <f t="shared" si="125"/>
        <v>0</v>
      </c>
    </row>
    <row r="422" spans="1:17" ht="12.75" hidden="1">
      <c r="A422" s="46" t="s">
        <v>38</v>
      </c>
      <c r="B422" s="108"/>
      <c r="C422" s="128"/>
      <c r="D422" s="126"/>
      <c r="E422" s="126"/>
      <c r="F422" s="246"/>
      <c r="G422" s="207"/>
      <c r="H422" s="209"/>
      <c r="I422" s="208"/>
      <c r="J422" s="267"/>
      <c r="K422" s="7"/>
      <c r="L422" s="31"/>
      <c r="M422" s="30"/>
      <c r="N422" s="7"/>
      <c r="O422" s="31"/>
      <c r="P422" s="195"/>
      <c r="Q422" s="91"/>
    </row>
    <row r="423" spans="1:17" ht="12.75" hidden="1">
      <c r="A423" s="47" t="s">
        <v>76</v>
      </c>
      <c r="B423" s="111"/>
      <c r="C423" s="138"/>
      <c r="D423" s="139"/>
      <c r="E423" s="139"/>
      <c r="F423" s="250">
        <f>C423+D423+E423</f>
        <v>0</v>
      </c>
      <c r="G423" s="218"/>
      <c r="H423" s="219"/>
      <c r="I423" s="220">
        <f>F423+G423+H423</f>
        <v>0</v>
      </c>
      <c r="J423" s="12"/>
      <c r="K423" s="10"/>
      <c r="L423" s="83">
        <f>I423+J423+K423</f>
        <v>0</v>
      </c>
      <c r="M423" s="34"/>
      <c r="N423" s="10"/>
      <c r="O423" s="35">
        <f>L423+M423+N423</f>
        <v>0</v>
      </c>
      <c r="P423" s="200"/>
      <c r="Q423" s="93">
        <f>O423+P423</f>
        <v>0</v>
      </c>
    </row>
    <row r="424" spans="1:17" ht="12.75">
      <c r="A424" s="41" t="s">
        <v>134</v>
      </c>
      <c r="B424" s="112"/>
      <c r="C424" s="123">
        <f aca="true" t="shared" si="126" ref="C424:Q424">C425</f>
        <v>84618</v>
      </c>
      <c r="D424" s="124">
        <f t="shared" si="126"/>
        <v>28234.95</v>
      </c>
      <c r="E424" s="124">
        <f t="shared" si="126"/>
        <v>-25000</v>
      </c>
      <c r="F424" s="245">
        <f t="shared" si="126"/>
        <v>87852.95</v>
      </c>
      <c r="G424" s="204">
        <f t="shared" si="126"/>
        <v>0</v>
      </c>
      <c r="H424" s="205">
        <f t="shared" si="126"/>
        <v>0</v>
      </c>
      <c r="I424" s="206">
        <f t="shared" si="126"/>
        <v>87852.95</v>
      </c>
      <c r="J424" s="268">
        <f t="shared" si="126"/>
        <v>0</v>
      </c>
      <c r="K424" s="125">
        <f t="shared" si="126"/>
        <v>0</v>
      </c>
      <c r="L424" s="125">
        <f t="shared" si="126"/>
        <v>87852.95</v>
      </c>
      <c r="M424" s="125">
        <f t="shared" si="126"/>
        <v>0</v>
      </c>
      <c r="N424" s="125">
        <f t="shared" si="126"/>
        <v>0</v>
      </c>
      <c r="O424" s="125">
        <f t="shared" si="126"/>
        <v>87852.95</v>
      </c>
      <c r="P424" s="125">
        <f t="shared" si="126"/>
        <v>0</v>
      </c>
      <c r="Q424" s="125">
        <f t="shared" si="126"/>
        <v>87852.95</v>
      </c>
    </row>
    <row r="425" spans="1:17" ht="12.75">
      <c r="A425" s="50" t="s">
        <v>69</v>
      </c>
      <c r="B425" s="112"/>
      <c r="C425" s="135">
        <f>SUM(C427:C430)</f>
        <v>84618</v>
      </c>
      <c r="D425" s="136">
        <f>SUM(D427:D430)</f>
        <v>28234.95</v>
      </c>
      <c r="E425" s="136">
        <f>SUM(E427:E430)</f>
        <v>-25000</v>
      </c>
      <c r="F425" s="190">
        <f>SUM(F427:F430)</f>
        <v>87852.95</v>
      </c>
      <c r="G425" s="214">
        <f aca="true" t="shared" si="127" ref="G425:Q425">SUM(G427:G430)</f>
        <v>0</v>
      </c>
      <c r="H425" s="215">
        <f t="shared" si="127"/>
        <v>0</v>
      </c>
      <c r="I425" s="216">
        <f t="shared" si="127"/>
        <v>87852.95</v>
      </c>
      <c r="J425" s="274">
        <f t="shared" si="127"/>
        <v>0</v>
      </c>
      <c r="K425" s="137">
        <f t="shared" si="127"/>
        <v>0</v>
      </c>
      <c r="L425" s="137">
        <f t="shared" si="127"/>
        <v>87852.95</v>
      </c>
      <c r="M425" s="137">
        <f t="shared" si="127"/>
        <v>0</v>
      </c>
      <c r="N425" s="137">
        <f t="shared" si="127"/>
        <v>0</v>
      </c>
      <c r="O425" s="137">
        <f t="shared" si="127"/>
        <v>87852.95</v>
      </c>
      <c r="P425" s="137">
        <f t="shared" si="127"/>
        <v>0</v>
      </c>
      <c r="Q425" s="137">
        <f t="shared" si="127"/>
        <v>87852.95</v>
      </c>
    </row>
    <row r="426" spans="1:17" ht="12.75">
      <c r="A426" s="46" t="s">
        <v>38</v>
      </c>
      <c r="B426" s="108"/>
      <c r="C426" s="123"/>
      <c r="D426" s="124"/>
      <c r="E426" s="124"/>
      <c r="F426" s="245"/>
      <c r="G426" s="204"/>
      <c r="H426" s="205"/>
      <c r="I426" s="206"/>
      <c r="J426" s="266"/>
      <c r="K426" s="6"/>
      <c r="L426" s="79"/>
      <c r="M426" s="28"/>
      <c r="N426" s="6"/>
      <c r="O426" s="29"/>
      <c r="P426" s="195"/>
      <c r="Q426" s="91"/>
    </row>
    <row r="427" spans="1:17" ht="12.75">
      <c r="A427" s="53" t="s">
        <v>333</v>
      </c>
      <c r="B427" s="108"/>
      <c r="C427" s="128">
        <v>30000</v>
      </c>
      <c r="D427" s="126"/>
      <c r="E427" s="126">
        <v>-25000</v>
      </c>
      <c r="F427" s="246">
        <f>C427+D427+E427</f>
        <v>5000</v>
      </c>
      <c r="G427" s="207"/>
      <c r="H427" s="209"/>
      <c r="I427" s="208">
        <f>F427+G427+H427</f>
        <v>5000</v>
      </c>
      <c r="J427" s="271"/>
      <c r="K427" s="7"/>
      <c r="L427" s="84">
        <f>I427+J427+K427</f>
        <v>5000</v>
      </c>
      <c r="M427" s="30"/>
      <c r="N427" s="7"/>
      <c r="O427" s="31">
        <f>L427+M427+N427</f>
        <v>5000</v>
      </c>
      <c r="P427" s="195"/>
      <c r="Q427" s="91">
        <f>O427+P427</f>
        <v>5000</v>
      </c>
    </row>
    <row r="428" spans="1:17" ht="12.75">
      <c r="A428" s="53" t="s">
        <v>135</v>
      </c>
      <c r="B428" s="108"/>
      <c r="C428" s="128"/>
      <c r="D428" s="126">
        <v>24721.7</v>
      </c>
      <c r="E428" s="126"/>
      <c r="F428" s="246">
        <f>C428+D428+E428</f>
        <v>24721.7</v>
      </c>
      <c r="G428" s="207"/>
      <c r="H428" s="209"/>
      <c r="I428" s="208">
        <f>F428+G428+H428</f>
        <v>24721.7</v>
      </c>
      <c r="J428" s="267"/>
      <c r="K428" s="7"/>
      <c r="L428" s="84">
        <f>I428+J428+K428</f>
        <v>24721.7</v>
      </c>
      <c r="M428" s="30"/>
      <c r="N428" s="7"/>
      <c r="O428" s="31">
        <f>L428+M428+N428</f>
        <v>24721.7</v>
      </c>
      <c r="P428" s="195"/>
      <c r="Q428" s="91">
        <f>O428+P428</f>
        <v>24721.7</v>
      </c>
    </row>
    <row r="429" spans="1:17" ht="12.75">
      <c r="A429" s="53" t="s">
        <v>136</v>
      </c>
      <c r="B429" s="108"/>
      <c r="C429" s="128"/>
      <c r="D429" s="126">
        <v>3513.25</v>
      </c>
      <c r="E429" s="126"/>
      <c r="F429" s="246">
        <f>C429+D429+E429</f>
        <v>3513.25</v>
      </c>
      <c r="G429" s="207"/>
      <c r="H429" s="209"/>
      <c r="I429" s="208">
        <f>F429+G429+H429</f>
        <v>3513.25</v>
      </c>
      <c r="J429" s="267"/>
      <c r="K429" s="7"/>
      <c r="L429" s="31">
        <f>I429+J429+K429</f>
        <v>3513.25</v>
      </c>
      <c r="M429" s="30"/>
      <c r="N429" s="7"/>
      <c r="O429" s="31">
        <f>L429+M429+N429</f>
        <v>3513.25</v>
      </c>
      <c r="P429" s="195"/>
      <c r="Q429" s="91">
        <f>O429+P429</f>
        <v>3513.25</v>
      </c>
    </row>
    <row r="430" spans="1:17" ht="12.75">
      <c r="A430" s="47" t="s">
        <v>72</v>
      </c>
      <c r="B430" s="111"/>
      <c r="C430" s="138">
        <v>54618</v>
      </c>
      <c r="D430" s="139"/>
      <c r="E430" s="139"/>
      <c r="F430" s="250">
        <f>C430+D430+E430</f>
        <v>54618</v>
      </c>
      <c r="G430" s="218"/>
      <c r="H430" s="219"/>
      <c r="I430" s="220">
        <f>F430+G430+H430</f>
        <v>54618</v>
      </c>
      <c r="J430" s="12"/>
      <c r="K430" s="10"/>
      <c r="L430" s="35">
        <f>I430+J430+K430</f>
        <v>54618</v>
      </c>
      <c r="M430" s="34"/>
      <c r="N430" s="10"/>
      <c r="O430" s="35">
        <f>L430+M430+N430</f>
        <v>54618</v>
      </c>
      <c r="P430" s="200"/>
      <c r="Q430" s="93">
        <f>O430+P430</f>
        <v>54618</v>
      </c>
    </row>
    <row r="431" spans="1:17" ht="12.75">
      <c r="A431" s="41" t="s">
        <v>241</v>
      </c>
      <c r="B431" s="112"/>
      <c r="C431" s="123">
        <f>C432+C443</f>
        <v>62993.2</v>
      </c>
      <c r="D431" s="124">
        <f>D432+D443</f>
        <v>450</v>
      </c>
      <c r="E431" s="124">
        <f>E432+E443</f>
        <v>0</v>
      </c>
      <c r="F431" s="245">
        <f>F432+F443</f>
        <v>63443.2</v>
      </c>
      <c r="G431" s="204">
        <f aca="true" t="shared" si="128" ref="G431:Q431">G432+G443</f>
        <v>2961.6</v>
      </c>
      <c r="H431" s="205">
        <f t="shared" si="128"/>
        <v>0</v>
      </c>
      <c r="I431" s="206">
        <f t="shared" si="128"/>
        <v>66404.8</v>
      </c>
      <c r="J431" s="268">
        <f t="shared" si="128"/>
        <v>0</v>
      </c>
      <c r="K431" s="125">
        <f t="shared" si="128"/>
        <v>0</v>
      </c>
      <c r="L431" s="125">
        <f t="shared" si="128"/>
        <v>0</v>
      </c>
      <c r="M431" s="125">
        <f t="shared" si="128"/>
        <v>0</v>
      </c>
      <c r="N431" s="125">
        <f t="shared" si="128"/>
        <v>0</v>
      </c>
      <c r="O431" s="125">
        <f t="shared" si="128"/>
        <v>0</v>
      </c>
      <c r="P431" s="125">
        <f t="shared" si="128"/>
        <v>0</v>
      </c>
      <c r="Q431" s="125">
        <f t="shared" si="128"/>
        <v>0</v>
      </c>
    </row>
    <row r="432" spans="1:17" ht="12.75">
      <c r="A432" s="50" t="s">
        <v>69</v>
      </c>
      <c r="B432" s="112"/>
      <c r="C432" s="189">
        <f>SUM(C433:C442)</f>
        <v>45993.2</v>
      </c>
      <c r="D432" s="190">
        <f>SUM(D433:D441)</f>
        <v>5162.2</v>
      </c>
      <c r="E432" s="190">
        <f>SUM(E433:E441)</f>
        <v>-600</v>
      </c>
      <c r="F432" s="190">
        <f>SUM(F433:F442)</f>
        <v>50555.399999999994</v>
      </c>
      <c r="G432" s="214">
        <f>SUM(G433:G442)</f>
        <v>164.10000000000002</v>
      </c>
      <c r="H432" s="215">
        <f aca="true" t="shared" si="129" ref="H432:Q432">SUM(H433:H441)</f>
        <v>0</v>
      </c>
      <c r="I432" s="216">
        <f>SUM(I433:I442)</f>
        <v>50719.5</v>
      </c>
      <c r="J432" s="274">
        <f t="shared" si="129"/>
        <v>0</v>
      </c>
      <c r="K432" s="137">
        <f t="shared" si="129"/>
        <v>0</v>
      </c>
      <c r="L432" s="137">
        <f t="shared" si="129"/>
        <v>0</v>
      </c>
      <c r="M432" s="137">
        <f t="shared" si="129"/>
        <v>0</v>
      </c>
      <c r="N432" s="137">
        <f t="shared" si="129"/>
        <v>0</v>
      </c>
      <c r="O432" s="137">
        <f t="shared" si="129"/>
        <v>0</v>
      </c>
      <c r="P432" s="137">
        <f t="shared" si="129"/>
        <v>0</v>
      </c>
      <c r="Q432" s="137">
        <f t="shared" si="129"/>
        <v>0</v>
      </c>
    </row>
    <row r="433" spans="1:17" ht="12.75">
      <c r="A433" s="44" t="s">
        <v>322</v>
      </c>
      <c r="B433" s="108"/>
      <c r="C433" s="128">
        <v>5248.6</v>
      </c>
      <c r="D433" s="126"/>
      <c r="E433" s="126"/>
      <c r="F433" s="246">
        <f aca="true" t="shared" si="130" ref="F433:F444">C433+D433+E433</f>
        <v>5248.6</v>
      </c>
      <c r="G433" s="207"/>
      <c r="H433" s="209"/>
      <c r="I433" s="208">
        <f>F433+G433+H433</f>
        <v>5248.6</v>
      </c>
      <c r="J433" s="267"/>
      <c r="K433" s="7"/>
      <c r="L433" s="31"/>
      <c r="M433" s="30"/>
      <c r="N433" s="7"/>
      <c r="O433" s="31"/>
      <c r="P433" s="195"/>
      <c r="Q433" s="91"/>
    </row>
    <row r="434" spans="1:17" ht="12.75">
      <c r="A434" s="44" t="s">
        <v>323</v>
      </c>
      <c r="B434" s="108"/>
      <c r="C434" s="128">
        <v>3000</v>
      </c>
      <c r="D434" s="126"/>
      <c r="E434" s="126"/>
      <c r="F434" s="246">
        <f t="shared" si="130"/>
        <v>3000</v>
      </c>
      <c r="G434" s="207"/>
      <c r="H434" s="209"/>
      <c r="I434" s="208">
        <f aca="true" t="shared" si="131" ref="I434:I446">F434+G434+H434</f>
        <v>3000</v>
      </c>
      <c r="J434" s="267"/>
      <c r="K434" s="7"/>
      <c r="L434" s="31"/>
      <c r="M434" s="30"/>
      <c r="N434" s="7"/>
      <c r="O434" s="31"/>
      <c r="P434" s="195"/>
      <c r="Q434" s="91"/>
    </row>
    <row r="435" spans="1:17" ht="12.75">
      <c r="A435" s="44" t="s">
        <v>324</v>
      </c>
      <c r="B435" s="108"/>
      <c r="C435" s="128">
        <v>5520</v>
      </c>
      <c r="D435" s="126"/>
      <c r="E435" s="126"/>
      <c r="F435" s="246">
        <f t="shared" si="130"/>
        <v>5520</v>
      </c>
      <c r="G435" s="207"/>
      <c r="H435" s="209"/>
      <c r="I435" s="208">
        <f t="shared" si="131"/>
        <v>5520</v>
      </c>
      <c r="J435" s="267"/>
      <c r="K435" s="7"/>
      <c r="L435" s="31"/>
      <c r="M435" s="30"/>
      <c r="N435" s="7"/>
      <c r="O435" s="31"/>
      <c r="P435" s="195"/>
      <c r="Q435" s="91"/>
    </row>
    <row r="436" spans="1:17" ht="12.75">
      <c r="A436" s="44" t="s">
        <v>325</v>
      </c>
      <c r="B436" s="108"/>
      <c r="C436" s="128">
        <v>3680</v>
      </c>
      <c r="D436" s="126"/>
      <c r="E436" s="126">
        <v>-600</v>
      </c>
      <c r="F436" s="246">
        <f t="shared" si="130"/>
        <v>3080</v>
      </c>
      <c r="G436" s="207"/>
      <c r="H436" s="209"/>
      <c r="I436" s="208">
        <f t="shared" si="131"/>
        <v>3080</v>
      </c>
      <c r="J436" s="267"/>
      <c r="K436" s="7"/>
      <c r="L436" s="31"/>
      <c r="M436" s="30"/>
      <c r="N436" s="7"/>
      <c r="O436" s="31"/>
      <c r="P436" s="195"/>
      <c r="Q436" s="91"/>
    </row>
    <row r="437" spans="1:17" ht="12.75">
      <c r="A437" s="44" t="s">
        <v>326</v>
      </c>
      <c r="B437" s="108"/>
      <c r="C437" s="128">
        <v>2604</v>
      </c>
      <c r="D437" s="143"/>
      <c r="E437" s="126"/>
      <c r="F437" s="246">
        <f t="shared" si="130"/>
        <v>2604</v>
      </c>
      <c r="G437" s="207">
        <v>-150</v>
      </c>
      <c r="H437" s="209"/>
      <c r="I437" s="208">
        <f t="shared" si="131"/>
        <v>2454</v>
      </c>
      <c r="J437" s="267"/>
      <c r="K437" s="7"/>
      <c r="L437" s="31"/>
      <c r="M437" s="30"/>
      <c r="N437" s="7"/>
      <c r="O437" s="31"/>
      <c r="P437" s="195"/>
      <c r="Q437" s="91"/>
    </row>
    <row r="438" spans="1:17" ht="12.75">
      <c r="A438" s="44" t="s">
        <v>327</v>
      </c>
      <c r="B438" s="108"/>
      <c r="C438" s="128">
        <v>1395.9</v>
      </c>
      <c r="D438" s="126">
        <v>450</v>
      </c>
      <c r="E438" s="126"/>
      <c r="F438" s="246">
        <f t="shared" si="130"/>
        <v>1845.9</v>
      </c>
      <c r="G438" s="207">
        <v>13.1</v>
      </c>
      <c r="H438" s="209"/>
      <c r="I438" s="208">
        <f t="shared" si="131"/>
        <v>1859</v>
      </c>
      <c r="J438" s="267"/>
      <c r="K438" s="7"/>
      <c r="L438" s="31"/>
      <c r="M438" s="30"/>
      <c r="N438" s="7"/>
      <c r="O438" s="31"/>
      <c r="P438" s="195"/>
      <c r="Q438" s="91"/>
    </row>
    <row r="439" spans="1:17" ht="12.75">
      <c r="A439" s="44" t="s">
        <v>328</v>
      </c>
      <c r="B439" s="108"/>
      <c r="C439" s="128">
        <v>9380</v>
      </c>
      <c r="D439" s="126"/>
      <c r="E439" s="126"/>
      <c r="F439" s="246">
        <f t="shared" si="130"/>
        <v>9380</v>
      </c>
      <c r="G439" s="207"/>
      <c r="H439" s="209"/>
      <c r="I439" s="208">
        <f t="shared" si="131"/>
        <v>9380</v>
      </c>
      <c r="J439" s="267"/>
      <c r="K439" s="7"/>
      <c r="L439" s="31"/>
      <c r="M439" s="30"/>
      <c r="N439" s="7"/>
      <c r="O439" s="31"/>
      <c r="P439" s="195"/>
      <c r="Q439" s="91"/>
    </row>
    <row r="440" spans="1:17" ht="12.75">
      <c r="A440" s="44" t="s">
        <v>329</v>
      </c>
      <c r="B440" s="108"/>
      <c r="C440" s="128">
        <v>7164.7</v>
      </c>
      <c r="D440" s="126"/>
      <c r="E440" s="126"/>
      <c r="F440" s="246">
        <f t="shared" si="130"/>
        <v>7164.7</v>
      </c>
      <c r="G440" s="207">
        <f>-1280+600</f>
        <v>-680</v>
      </c>
      <c r="H440" s="209"/>
      <c r="I440" s="208">
        <f t="shared" si="131"/>
        <v>6484.7</v>
      </c>
      <c r="J440" s="267"/>
      <c r="K440" s="7"/>
      <c r="L440" s="31"/>
      <c r="M440" s="30"/>
      <c r="N440" s="7"/>
      <c r="O440" s="31"/>
      <c r="P440" s="195"/>
      <c r="Q440" s="91"/>
    </row>
    <row r="441" spans="1:17" ht="12.75">
      <c r="A441" s="44" t="s">
        <v>330</v>
      </c>
      <c r="B441" s="108"/>
      <c r="C441" s="144">
        <v>8000</v>
      </c>
      <c r="D441" s="126">
        <v>4712.2</v>
      </c>
      <c r="E441" s="143"/>
      <c r="F441" s="246">
        <f t="shared" si="130"/>
        <v>12712.2</v>
      </c>
      <c r="G441" s="207">
        <f>981</f>
        <v>981</v>
      </c>
      <c r="H441" s="209"/>
      <c r="I441" s="208">
        <f t="shared" si="131"/>
        <v>13693.2</v>
      </c>
      <c r="J441" s="267"/>
      <c r="K441" s="7"/>
      <c r="L441" s="31"/>
      <c r="M441" s="30"/>
      <c r="N441" s="7"/>
      <c r="O441" s="31"/>
      <c r="P441" s="195"/>
      <c r="Q441" s="91"/>
    </row>
    <row r="442" spans="1:17" ht="12.75" hidden="1">
      <c r="A442" s="44" t="s">
        <v>72</v>
      </c>
      <c r="B442" s="108"/>
      <c r="C442" s="144"/>
      <c r="D442" s="126"/>
      <c r="E442" s="143"/>
      <c r="F442" s="246">
        <f t="shared" si="130"/>
        <v>0</v>
      </c>
      <c r="G442" s="207"/>
      <c r="H442" s="209"/>
      <c r="I442" s="208">
        <f t="shared" si="131"/>
        <v>0</v>
      </c>
      <c r="J442" s="94"/>
      <c r="K442" s="11"/>
      <c r="L442" s="31"/>
      <c r="M442" s="94"/>
      <c r="N442" s="11"/>
      <c r="O442" s="31"/>
      <c r="P442" s="309"/>
      <c r="Q442" s="91"/>
    </row>
    <row r="443" spans="1:17" ht="12.75">
      <c r="A443" s="50" t="s">
        <v>75</v>
      </c>
      <c r="B443" s="112"/>
      <c r="C443" s="135">
        <f>SUM(C444:C446)</f>
        <v>17000</v>
      </c>
      <c r="D443" s="136">
        <f>SUM(D444:D446)</f>
        <v>-4712.2</v>
      </c>
      <c r="E443" s="136">
        <f>SUM(E444:E446)</f>
        <v>600</v>
      </c>
      <c r="F443" s="190">
        <f>SUM(F444:F446)</f>
        <v>12887.8</v>
      </c>
      <c r="G443" s="214">
        <f aca="true" t="shared" si="132" ref="G443:Q443">SUM(G444:G446)</f>
        <v>2797.5</v>
      </c>
      <c r="H443" s="215">
        <f t="shared" si="132"/>
        <v>0</v>
      </c>
      <c r="I443" s="216">
        <f t="shared" si="132"/>
        <v>15685.3</v>
      </c>
      <c r="J443" s="274">
        <f t="shared" si="132"/>
        <v>0</v>
      </c>
      <c r="K443" s="137">
        <f t="shared" si="132"/>
        <v>0</v>
      </c>
      <c r="L443" s="137">
        <f t="shared" si="132"/>
        <v>0</v>
      </c>
      <c r="M443" s="137">
        <f t="shared" si="132"/>
        <v>0</v>
      </c>
      <c r="N443" s="137">
        <f t="shared" si="132"/>
        <v>0</v>
      </c>
      <c r="O443" s="137">
        <f t="shared" si="132"/>
        <v>0</v>
      </c>
      <c r="P443" s="137">
        <f t="shared" si="132"/>
        <v>0</v>
      </c>
      <c r="Q443" s="137">
        <f t="shared" si="132"/>
        <v>0</v>
      </c>
    </row>
    <row r="444" spans="1:17" ht="12.75">
      <c r="A444" s="48" t="s">
        <v>335</v>
      </c>
      <c r="B444" s="108"/>
      <c r="C444" s="128"/>
      <c r="D444" s="126"/>
      <c r="E444" s="143">
        <v>600</v>
      </c>
      <c r="F444" s="246">
        <f t="shared" si="130"/>
        <v>600</v>
      </c>
      <c r="G444" s="207"/>
      <c r="H444" s="209"/>
      <c r="I444" s="208">
        <f t="shared" si="131"/>
        <v>600</v>
      </c>
      <c r="J444" s="267"/>
      <c r="K444" s="7"/>
      <c r="L444" s="31"/>
      <c r="M444" s="30"/>
      <c r="N444" s="7"/>
      <c r="O444" s="31"/>
      <c r="P444" s="195"/>
      <c r="Q444" s="91"/>
    </row>
    <row r="445" spans="1:17" ht="12.75">
      <c r="A445" s="48" t="s">
        <v>329</v>
      </c>
      <c r="B445" s="108"/>
      <c r="C445" s="128"/>
      <c r="D445" s="126"/>
      <c r="E445" s="143"/>
      <c r="F445" s="246"/>
      <c r="G445" s="207">
        <v>1280</v>
      </c>
      <c r="H445" s="209"/>
      <c r="I445" s="208">
        <f t="shared" si="131"/>
        <v>1280</v>
      </c>
      <c r="J445" s="267"/>
      <c r="K445" s="7"/>
      <c r="L445" s="31"/>
      <c r="M445" s="30"/>
      <c r="N445" s="7"/>
      <c r="O445" s="31"/>
      <c r="P445" s="195"/>
      <c r="Q445" s="91"/>
    </row>
    <row r="446" spans="1:17" ht="13.5" thickBot="1">
      <c r="A446" s="326" t="s">
        <v>334</v>
      </c>
      <c r="B446" s="327"/>
      <c r="C446" s="335">
        <v>17000</v>
      </c>
      <c r="D446" s="329">
        <v>-4712.2</v>
      </c>
      <c r="E446" s="336"/>
      <c r="F446" s="330">
        <f>C446+D446+E446</f>
        <v>12287.8</v>
      </c>
      <c r="G446" s="331">
        <f>1517.5</f>
        <v>1517.5</v>
      </c>
      <c r="H446" s="332"/>
      <c r="I446" s="333">
        <f t="shared" si="131"/>
        <v>13805.3</v>
      </c>
      <c r="J446" s="267"/>
      <c r="K446" s="7"/>
      <c r="L446" s="31"/>
      <c r="M446" s="30"/>
      <c r="N446" s="7"/>
      <c r="O446" s="31"/>
      <c r="P446" s="195"/>
      <c r="Q446" s="91"/>
    </row>
    <row r="447" spans="1:17" ht="12.75">
      <c r="A447" s="41" t="s">
        <v>186</v>
      </c>
      <c r="B447" s="112"/>
      <c r="C447" s="123">
        <f aca="true" t="shared" si="133" ref="C447:Q447">C448</f>
        <v>3000</v>
      </c>
      <c r="D447" s="124">
        <f t="shared" si="133"/>
        <v>5007.82</v>
      </c>
      <c r="E447" s="124">
        <f t="shared" si="133"/>
        <v>0</v>
      </c>
      <c r="F447" s="245">
        <f t="shared" si="133"/>
        <v>8007.82</v>
      </c>
      <c r="G447" s="204">
        <f t="shared" si="133"/>
        <v>-750</v>
      </c>
      <c r="H447" s="205">
        <f t="shared" si="133"/>
        <v>0</v>
      </c>
      <c r="I447" s="206">
        <f t="shared" si="133"/>
        <v>7257.82</v>
      </c>
      <c r="J447" s="268">
        <f t="shared" si="133"/>
        <v>0</v>
      </c>
      <c r="K447" s="125">
        <f t="shared" si="133"/>
        <v>0</v>
      </c>
      <c r="L447" s="125">
        <f t="shared" si="133"/>
        <v>7257.82</v>
      </c>
      <c r="M447" s="125">
        <f t="shared" si="133"/>
        <v>0</v>
      </c>
      <c r="N447" s="125">
        <f t="shared" si="133"/>
        <v>0</v>
      </c>
      <c r="O447" s="125">
        <f t="shared" si="133"/>
        <v>7257.82</v>
      </c>
      <c r="P447" s="125">
        <f t="shared" si="133"/>
        <v>0</v>
      </c>
      <c r="Q447" s="125">
        <f t="shared" si="133"/>
        <v>7257.82</v>
      </c>
    </row>
    <row r="448" spans="1:17" ht="12.75">
      <c r="A448" s="50" t="s">
        <v>69</v>
      </c>
      <c r="B448" s="112"/>
      <c r="C448" s="135">
        <f>C450</f>
        <v>3000</v>
      </c>
      <c r="D448" s="136">
        <f>D450</f>
        <v>5007.82</v>
      </c>
      <c r="E448" s="136">
        <f>E450</f>
        <v>0</v>
      </c>
      <c r="F448" s="190">
        <f>F450</f>
        <v>8007.82</v>
      </c>
      <c r="G448" s="214">
        <f aca="true" t="shared" si="134" ref="G448:Q448">G450</f>
        <v>-750</v>
      </c>
      <c r="H448" s="215">
        <f t="shared" si="134"/>
        <v>0</v>
      </c>
      <c r="I448" s="216">
        <f t="shared" si="134"/>
        <v>7257.82</v>
      </c>
      <c r="J448" s="274">
        <f t="shared" si="134"/>
        <v>0</v>
      </c>
      <c r="K448" s="137">
        <f t="shared" si="134"/>
        <v>0</v>
      </c>
      <c r="L448" s="137">
        <f t="shared" si="134"/>
        <v>7257.82</v>
      </c>
      <c r="M448" s="137">
        <f t="shared" si="134"/>
        <v>0</v>
      </c>
      <c r="N448" s="137">
        <f t="shared" si="134"/>
        <v>0</v>
      </c>
      <c r="O448" s="137">
        <f t="shared" si="134"/>
        <v>7257.82</v>
      </c>
      <c r="P448" s="137">
        <f t="shared" si="134"/>
        <v>0</v>
      </c>
      <c r="Q448" s="137">
        <f t="shared" si="134"/>
        <v>7257.82</v>
      </c>
    </row>
    <row r="449" spans="1:17" ht="12.75">
      <c r="A449" s="46" t="s">
        <v>38</v>
      </c>
      <c r="B449" s="108"/>
      <c r="C449" s="128"/>
      <c r="D449" s="126"/>
      <c r="E449" s="126"/>
      <c r="F449" s="246"/>
      <c r="G449" s="207"/>
      <c r="H449" s="209"/>
      <c r="I449" s="208"/>
      <c r="J449" s="267"/>
      <c r="K449" s="7"/>
      <c r="L449" s="31"/>
      <c r="M449" s="30"/>
      <c r="N449" s="7"/>
      <c r="O449" s="31"/>
      <c r="P449" s="195"/>
      <c r="Q449" s="91"/>
    </row>
    <row r="450" spans="1:17" ht="12.75">
      <c r="A450" s="47" t="s">
        <v>72</v>
      </c>
      <c r="B450" s="111"/>
      <c r="C450" s="138">
        <v>3000</v>
      </c>
      <c r="D450" s="139">
        <v>5007.82</v>
      </c>
      <c r="E450" s="139"/>
      <c r="F450" s="250">
        <f>C450+D450+E450</f>
        <v>8007.82</v>
      </c>
      <c r="G450" s="218">
        <v>-750</v>
      </c>
      <c r="H450" s="219"/>
      <c r="I450" s="220">
        <f>F450+G450+H450</f>
        <v>7257.82</v>
      </c>
      <c r="J450" s="12"/>
      <c r="K450" s="10"/>
      <c r="L450" s="35">
        <f>I450+J450+K450</f>
        <v>7257.82</v>
      </c>
      <c r="M450" s="34"/>
      <c r="N450" s="10"/>
      <c r="O450" s="35">
        <f>L450+M450+N450</f>
        <v>7257.82</v>
      </c>
      <c r="P450" s="200"/>
      <c r="Q450" s="93">
        <f>O450+P450</f>
        <v>7257.82</v>
      </c>
    </row>
    <row r="451" spans="1:17" ht="12.75">
      <c r="A451" s="41" t="s">
        <v>137</v>
      </c>
      <c r="B451" s="112"/>
      <c r="C451" s="123">
        <f>C453+C454</f>
        <v>108000</v>
      </c>
      <c r="D451" s="151">
        <f>D453+D454</f>
        <v>173916.79999999996</v>
      </c>
      <c r="E451" s="151">
        <f>E453+E454</f>
        <v>25000</v>
      </c>
      <c r="F451" s="253">
        <f>F453+F454</f>
        <v>306916.79999999993</v>
      </c>
      <c r="G451" s="291">
        <f aca="true" t="shared" si="135" ref="G451:Q451">G453+G454</f>
        <v>27221.2</v>
      </c>
      <c r="H451" s="292">
        <f t="shared" si="135"/>
        <v>0</v>
      </c>
      <c r="I451" s="224">
        <f t="shared" si="135"/>
        <v>334137.99999999994</v>
      </c>
      <c r="J451" s="276">
        <f t="shared" si="135"/>
        <v>0</v>
      </c>
      <c r="K451" s="152">
        <f t="shared" si="135"/>
        <v>0</v>
      </c>
      <c r="L451" s="152">
        <f t="shared" si="135"/>
        <v>334127.99999999994</v>
      </c>
      <c r="M451" s="152">
        <f t="shared" si="135"/>
        <v>0</v>
      </c>
      <c r="N451" s="152">
        <f t="shared" si="135"/>
        <v>-60.6</v>
      </c>
      <c r="O451" s="152">
        <f t="shared" si="135"/>
        <v>334067.39999999997</v>
      </c>
      <c r="P451" s="152">
        <f t="shared" si="135"/>
        <v>0</v>
      </c>
      <c r="Q451" s="152">
        <f t="shared" si="135"/>
        <v>334067.39999999997</v>
      </c>
    </row>
    <row r="452" spans="1:17" ht="12.75">
      <c r="A452" s="43" t="s">
        <v>38</v>
      </c>
      <c r="B452" s="108"/>
      <c r="C452" s="123"/>
      <c r="D452" s="124"/>
      <c r="E452" s="124"/>
      <c r="F452" s="245"/>
      <c r="G452" s="204"/>
      <c r="H452" s="205"/>
      <c r="I452" s="206"/>
      <c r="J452" s="268"/>
      <c r="K452" s="125"/>
      <c r="L452" s="125"/>
      <c r="M452" s="125"/>
      <c r="N452" s="125"/>
      <c r="O452" s="125"/>
      <c r="P452" s="125"/>
      <c r="Q452" s="125"/>
    </row>
    <row r="453" spans="1:17" ht="12.75">
      <c r="A453" s="41" t="s">
        <v>69</v>
      </c>
      <c r="B453" s="112"/>
      <c r="C453" s="129">
        <f>C468+C470+C482+C484+C489+C494+C485+C475+C496+C477+C498</f>
        <v>10795</v>
      </c>
      <c r="D453" s="310">
        <f aca="true" t="shared" si="136" ref="D453:I453">D468+D470+D482+D484+D489+D494+D485+D475+D496+D477+D498</f>
        <v>12838.8</v>
      </c>
      <c r="E453" s="314">
        <f t="shared" si="136"/>
        <v>5119.200000000001</v>
      </c>
      <c r="F453" s="131">
        <f t="shared" si="136"/>
        <v>28753</v>
      </c>
      <c r="G453" s="129">
        <f t="shared" si="136"/>
        <v>9696.2</v>
      </c>
      <c r="H453" s="312">
        <f t="shared" si="136"/>
        <v>0</v>
      </c>
      <c r="I453" s="131">
        <f t="shared" si="136"/>
        <v>38449.2</v>
      </c>
      <c r="J453" s="270">
        <f aca="true" t="shared" si="137" ref="J453:Q453">J468+J470+J482+J484+J489+J494+J485+J475+J496+J477</f>
        <v>0</v>
      </c>
      <c r="K453" s="131">
        <f t="shared" si="137"/>
        <v>0</v>
      </c>
      <c r="L453" s="131">
        <f t="shared" si="137"/>
        <v>38439.2</v>
      </c>
      <c r="M453" s="131">
        <f t="shared" si="137"/>
        <v>0</v>
      </c>
      <c r="N453" s="131">
        <f t="shared" si="137"/>
        <v>0</v>
      </c>
      <c r="O453" s="131">
        <f t="shared" si="137"/>
        <v>38439.2</v>
      </c>
      <c r="P453" s="131">
        <f t="shared" si="137"/>
        <v>0</v>
      </c>
      <c r="Q453" s="131">
        <f t="shared" si="137"/>
        <v>38439.2</v>
      </c>
    </row>
    <row r="454" spans="1:17" ht="12.75">
      <c r="A454" s="41" t="s">
        <v>75</v>
      </c>
      <c r="B454" s="112"/>
      <c r="C454" s="129">
        <f>C457+C458+C460+C461+C463+C465+C466+C467+C471+C472+C474+C476+C478+C480+C481+C483+C486+C488+C490+C491+C493+C495+C497</f>
        <v>97205</v>
      </c>
      <c r="D454" s="130">
        <f>D457+D458+D460+D461+D463+D465+D466+D467+D471+D472+D474+D476+D478+D480+D481+D483+D486+D488+D490+D491+D493+D495+D497</f>
        <v>161077.99999999997</v>
      </c>
      <c r="E454" s="130">
        <f>E457+E458+E460+E461+E463+E465+E466+E467+E471+E472+E474+E476+E478+E480+E481+E483+E486+E488+E490+E491+E493+E495+E497</f>
        <v>19880.8</v>
      </c>
      <c r="F454" s="247">
        <f>F457+F458+F460+F461+F463+F465+F466+F467+F471+F472+F474+F476+F478+F480+F481+F483+F486+F488+F490+F491+F493+F495+F497</f>
        <v>278163.79999999993</v>
      </c>
      <c r="G454" s="129">
        <f aca="true" t="shared" si="138" ref="G454:Q454">G457+G458+G460+G461+G463+G465+G466+G467+G471+G472+G474+G476+G478+G480+G481+G483+G486+G488+G490+G491+G493+G495+G497</f>
        <v>17525</v>
      </c>
      <c r="H454" s="313">
        <f t="shared" si="138"/>
        <v>0</v>
      </c>
      <c r="I454" s="131">
        <f t="shared" si="138"/>
        <v>295688.79999999993</v>
      </c>
      <c r="J454" s="270">
        <f t="shared" si="138"/>
        <v>0</v>
      </c>
      <c r="K454" s="131">
        <f t="shared" si="138"/>
        <v>0</v>
      </c>
      <c r="L454" s="131">
        <f t="shared" si="138"/>
        <v>295688.79999999993</v>
      </c>
      <c r="M454" s="131">
        <f t="shared" si="138"/>
        <v>0</v>
      </c>
      <c r="N454" s="131">
        <f t="shared" si="138"/>
        <v>-60.6</v>
      </c>
      <c r="O454" s="131">
        <f t="shared" si="138"/>
        <v>295628.19999999995</v>
      </c>
      <c r="P454" s="131">
        <f t="shared" si="138"/>
        <v>0</v>
      </c>
      <c r="Q454" s="131">
        <f t="shared" si="138"/>
        <v>295628.19999999995</v>
      </c>
    </row>
    <row r="455" spans="1:17" ht="12.75">
      <c r="A455" s="42" t="s">
        <v>138</v>
      </c>
      <c r="B455" s="108"/>
      <c r="C455" s="123"/>
      <c r="D455" s="124"/>
      <c r="E455" s="124"/>
      <c r="F455" s="245"/>
      <c r="G455" s="204"/>
      <c r="H455" s="311"/>
      <c r="I455" s="206"/>
      <c r="J455" s="266"/>
      <c r="K455" s="6"/>
      <c r="L455" s="29"/>
      <c r="M455" s="28"/>
      <c r="N455" s="6"/>
      <c r="O455" s="29"/>
      <c r="P455" s="195"/>
      <c r="Q455" s="91"/>
    </row>
    <row r="456" spans="1:17" ht="12.75">
      <c r="A456" s="43" t="s">
        <v>139</v>
      </c>
      <c r="B456" s="108"/>
      <c r="C456" s="128">
        <f>C457+C458</f>
        <v>2000</v>
      </c>
      <c r="D456" s="126">
        <f>D457+D458</f>
        <v>1014.7</v>
      </c>
      <c r="E456" s="126">
        <f>E457+E458</f>
        <v>0</v>
      </c>
      <c r="F456" s="246">
        <f>F457+F458</f>
        <v>3014.7</v>
      </c>
      <c r="G456" s="207">
        <f aca="true" t="shared" si="139" ref="G456:Q456">G457+G458</f>
        <v>1495.5</v>
      </c>
      <c r="H456" s="209">
        <f t="shared" si="139"/>
        <v>0</v>
      </c>
      <c r="I456" s="208">
        <f t="shared" si="139"/>
        <v>4510.2</v>
      </c>
      <c r="J456" s="269">
        <f t="shared" si="139"/>
        <v>0</v>
      </c>
      <c r="K456" s="127">
        <f t="shared" si="139"/>
        <v>0</v>
      </c>
      <c r="L456" s="127">
        <f t="shared" si="139"/>
        <v>4510.2</v>
      </c>
      <c r="M456" s="127">
        <f t="shared" si="139"/>
        <v>0</v>
      </c>
      <c r="N456" s="127">
        <f t="shared" si="139"/>
        <v>0</v>
      </c>
      <c r="O456" s="127">
        <f t="shared" si="139"/>
        <v>4510.2</v>
      </c>
      <c r="P456" s="127">
        <f t="shared" si="139"/>
        <v>0</v>
      </c>
      <c r="Q456" s="127">
        <f t="shared" si="139"/>
        <v>4510.2</v>
      </c>
    </row>
    <row r="457" spans="1:17" ht="12.75">
      <c r="A457" s="43" t="s">
        <v>140</v>
      </c>
      <c r="B457" s="108"/>
      <c r="C457" s="128">
        <v>2000</v>
      </c>
      <c r="D457" s="126">
        <v>1014.7</v>
      </c>
      <c r="E457" s="124"/>
      <c r="F457" s="246">
        <f aca="true" t="shared" si="140" ref="F457:F499">C457+D457+E457</f>
        <v>3014.7</v>
      </c>
      <c r="G457" s="207">
        <v>1495.5</v>
      </c>
      <c r="H457" s="205"/>
      <c r="I457" s="208">
        <f>F457+G457+H457</f>
        <v>4510.2</v>
      </c>
      <c r="J457" s="267"/>
      <c r="K457" s="6"/>
      <c r="L457" s="31">
        <f>I457+J457+K457</f>
        <v>4510.2</v>
      </c>
      <c r="M457" s="30"/>
      <c r="N457" s="6"/>
      <c r="O457" s="31">
        <f>L457+M457+N457</f>
        <v>4510.2</v>
      </c>
      <c r="P457" s="195"/>
      <c r="Q457" s="91">
        <f>O457+P457</f>
        <v>4510.2</v>
      </c>
    </row>
    <row r="458" spans="1:17" ht="12.75" hidden="1">
      <c r="A458" s="43" t="s">
        <v>141</v>
      </c>
      <c r="B458" s="108"/>
      <c r="C458" s="128">
        <v>0</v>
      </c>
      <c r="D458" s="126"/>
      <c r="E458" s="126"/>
      <c r="F458" s="246">
        <f t="shared" si="140"/>
        <v>0</v>
      </c>
      <c r="G458" s="207"/>
      <c r="H458" s="205"/>
      <c r="I458" s="208">
        <f>F458+G458+H458</f>
        <v>0</v>
      </c>
      <c r="J458" s="267"/>
      <c r="K458" s="6"/>
      <c r="L458" s="31">
        <f>I458+J458+K458</f>
        <v>0</v>
      </c>
      <c r="M458" s="30"/>
      <c r="N458" s="6"/>
      <c r="O458" s="31">
        <f>L458+M458+N458</f>
        <v>0</v>
      </c>
      <c r="P458" s="195"/>
      <c r="Q458" s="91">
        <f>O458+P458</f>
        <v>0</v>
      </c>
    </row>
    <row r="459" spans="1:17" ht="12.75">
      <c r="A459" s="43" t="s">
        <v>142</v>
      </c>
      <c r="B459" s="108"/>
      <c r="C459" s="128">
        <f>C460+C461</f>
        <v>560</v>
      </c>
      <c r="D459" s="126">
        <f>D460+D461</f>
        <v>2414.1</v>
      </c>
      <c r="E459" s="126">
        <f>E460+E461</f>
        <v>0</v>
      </c>
      <c r="F459" s="246">
        <f>F460+F461</f>
        <v>2974.1</v>
      </c>
      <c r="G459" s="207">
        <f aca="true" t="shared" si="141" ref="G459:Q459">G460+G461</f>
        <v>-1495.5</v>
      </c>
      <c r="H459" s="209">
        <f t="shared" si="141"/>
        <v>0</v>
      </c>
      <c r="I459" s="208">
        <f t="shared" si="141"/>
        <v>1478.6</v>
      </c>
      <c r="J459" s="269">
        <f t="shared" si="141"/>
        <v>0</v>
      </c>
      <c r="K459" s="127">
        <f t="shared" si="141"/>
        <v>0</v>
      </c>
      <c r="L459" s="127">
        <f t="shared" si="141"/>
        <v>1478.6</v>
      </c>
      <c r="M459" s="127">
        <f t="shared" si="141"/>
        <v>0</v>
      </c>
      <c r="N459" s="127">
        <f t="shared" si="141"/>
        <v>0</v>
      </c>
      <c r="O459" s="127">
        <f t="shared" si="141"/>
        <v>1478.6</v>
      </c>
      <c r="P459" s="127">
        <f t="shared" si="141"/>
        <v>0</v>
      </c>
      <c r="Q459" s="127">
        <f t="shared" si="141"/>
        <v>1478.6</v>
      </c>
    </row>
    <row r="460" spans="1:17" ht="12.75">
      <c r="A460" s="43" t="s">
        <v>140</v>
      </c>
      <c r="B460" s="108"/>
      <c r="C460" s="128">
        <v>560</v>
      </c>
      <c r="D460" s="126">
        <f>1595.5+611</f>
        <v>2206.5</v>
      </c>
      <c r="E460" s="126"/>
      <c r="F460" s="246">
        <f t="shared" si="140"/>
        <v>2766.5</v>
      </c>
      <c r="G460" s="207">
        <v>-1495.5</v>
      </c>
      <c r="H460" s="205"/>
      <c r="I460" s="208">
        <f>F460+G460+H460</f>
        <v>1271</v>
      </c>
      <c r="J460" s="267"/>
      <c r="K460" s="6"/>
      <c r="L460" s="31">
        <f>I460+J460+K460</f>
        <v>1271</v>
      </c>
      <c r="M460" s="30"/>
      <c r="N460" s="6"/>
      <c r="O460" s="31">
        <f>L460+M460+N460</f>
        <v>1271</v>
      </c>
      <c r="P460" s="195"/>
      <c r="Q460" s="91">
        <f>O460+P460</f>
        <v>1271</v>
      </c>
    </row>
    <row r="461" spans="1:17" ht="12.75">
      <c r="A461" s="43" t="s">
        <v>141</v>
      </c>
      <c r="B461" s="108"/>
      <c r="C461" s="128"/>
      <c r="D461" s="126">
        <f>818.6-611</f>
        <v>207.60000000000002</v>
      </c>
      <c r="E461" s="126"/>
      <c r="F461" s="246">
        <f t="shared" si="140"/>
        <v>207.60000000000002</v>
      </c>
      <c r="G461" s="207"/>
      <c r="H461" s="205"/>
      <c r="I461" s="208">
        <f>F461+G461+H461</f>
        <v>207.60000000000002</v>
      </c>
      <c r="J461" s="267"/>
      <c r="K461" s="6"/>
      <c r="L461" s="31">
        <f>I461+J461+K461</f>
        <v>207.60000000000002</v>
      </c>
      <c r="M461" s="30"/>
      <c r="N461" s="6"/>
      <c r="O461" s="31">
        <f>L461+M461+N461</f>
        <v>207.60000000000002</v>
      </c>
      <c r="P461" s="195"/>
      <c r="Q461" s="91">
        <f>O461+P461</f>
        <v>207.60000000000002</v>
      </c>
    </row>
    <row r="462" spans="1:17" ht="12.75" hidden="1">
      <c r="A462" s="44" t="s">
        <v>235</v>
      </c>
      <c r="B462" s="108"/>
      <c r="C462" s="128">
        <f>C463</f>
        <v>0</v>
      </c>
      <c r="D462" s="126">
        <f>D463</f>
        <v>0</v>
      </c>
      <c r="E462" s="126">
        <f>E463</f>
        <v>0</v>
      </c>
      <c r="F462" s="246">
        <f>F463</f>
        <v>0</v>
      </c>
      <c r="G462" s="207">
        <f aca="true" t="shared" si="142" ref="G462:Q462">G463</f>
        <v>0</v>
      </c>
      <c r="H462" s="209">
        <f t="shared" si="142"/>
        <v>0</v>
      </c>
      <c r="I462" s="208">
        <f t="shared" si="142"/>
        <v>0</v>
      </c>
      <c r="J462" s="269">
        <f t="shared" si="142"/>
        <v>0</v>
      </c>
      <c r="K462" s="127">
        <f t="shared" si="142"/>
        <v>0</v>
      </c>
      <c r="L462" s="127">
        <f t="shared" si="142"/>
        <v>0</v>
      </c>
      <c r="M462" s="127">
        <f t="shared" si="142"/>
        <v>0</v>
      </c>
      <c r="N462" s="127">
        <f t="shared" si="142"/>
        <v>0</v>
      </c>
      <c r="O462" s="127">
        <f t="shared" si="142"/>
        <v>0</v>
      </c>
      <c r="P462" s="127">
        <f t="shared" si="142"/>
        <v>0</v>
      </c>
      <c r="Q462" s="127">
        <f t="shared" si="142"/>
        <v>0</v>
      </c>
    </row>
    <row r="463" spans="1:17" ht="12.75" hidden="1">
      <c r="A463" s="44" t="s">
        <v>236</v>
      </c>
      <c r="B463" s="108"/>
      <c r="C463" s="128"/>
      <c r="D463" s="126"/>
      <c r="E463" s="126"/>
      <c r="F463" s="246">
        <f t="shared" si="140"/>
        <v>0</v>
      </c>
      <c r="G463" s="207"/>
      <c r="H463" s="205"/>
      <c r="I463" s="208">
        <f>F463+G463+H463</f>
        <v>0</v>
      </c>
      <c r="J463" s="267"/>
      <c r="K463" s="6"/>
      <c r="L463" s="31"/>
      <c r="M463" s="30"/>
      <c r="N463" s="6"/>
      <c r="O463" s="31"/>
      <c r="P463" s="195"/>
      <c r="Q463" s="91"/>
    </row>
    <row r="464" spans="1:17" ht="12.75">
      <c r="A464" s="43" t="s">
        <v>143</v>
      </c>
      <c r="B464" s="108"/>
      <c r="C464" s="128">
        <f>SUM(C465:C468)</f>
        <v>17000</v>
      </c>
      <c r="D464" s="126">
        <f>SUM(D465:D468)</f>
        <v>62381.200000000004</v>
      </c>
      <c r="E464" s="126">
        <f>SUM(E465:E468)</f>
        <v>0</v>
      </c>
      <c r="F464" s="246">
        <f>SUM(F465:F468)</f>
        <v>79381.2</v>
      </c>
      <c r="G464" s="207">
        <f aca="true" t="shared" si="143" ref="G464:Q464">SUM(G465:G468)</f>
        <v>0</v>
      </c>
      <c r="H464" s="209">
        <f t="shared" si="143"/>
        <v>0</v>
      </c>
      <c r="I464" s="208">
        <f t="shared" si="143"/>
        <v>79381.2</v>
      </c>
      <c r="J464" s="269">
        <f t="shared" si="143"/>
        <v>0</v>
      </c>
      <c r="K464" s="127">
        <f t="shared" si="143"/>
        <v>0</v>
      </c>
      <c r="L464" s="127">
        <f t="shared" si="143"/>
        <v>79381.2</v>
      </c>
      <c r="M464" s="127">
        <f t="shared" si="143"/>
        <v>0</v>
      </c>
      <c r="N464" s="127">
        <f t="shared" si="143"/>
        <v>0</v>
      </c>
      <c r="O464" s="127">
        <f t="shared" si="143"/>
        <v>79381.2</v>
      </c>
      <c r="P464" s="127">
        <f t="shared" si="143"/>
        <v>0</v>
      </c>
      <c r="Q464" s="127">
        <f t="shared" si="143"/>
        <v>79381.2</v>
      </c>
    </row>
    <row r="465" spans="1:17" ht="12.75">
      <c r="A465" s="43" t="s">
        <v>144</v>
      </c>
      <c r="B465" s="108"/>
      <c r="C465" s="128">
        <v>5000</v>
      </c>
      <c r="D465" s="126">
        <v>-5000</v>
      </c>
      <c r="E465" s="126"/>
      <c r="F465" s="246">
        <f t="shared" si="140"/>
        <v>0</v>
      </c>
      <c r="G465" s="207"/>
      <c r="H465" s="209"/>
      <c r="I465" s="208">
        <f>F465+G465+H465</f>
        <v>0</v>
      </c>
      <c r="J465" s="267"/>
      <c r="K465" s="7"/>
      <c r="L465" s="31">
        <f>I465+J465+K465</f>
        <v>0</v>
      </c>
      <c r="M465" s="30"/>
      <c r="N465" s="7"/>
      <c r="O465" s="31">
        <f>L465+M465+N465</f>
        <v>0</v>
      </c>
      <c r="P465" s="195"/>
      <c r="Q465" s="91">
        <f>O465+P465</f>
        <v>0</v>
      </c>
    </row>
    <row r="466" spans="1:17" ht="12.75">
      <c r="A466" s="43" t="s">
        <v>145</v>
      </c>
      <c r="B466" s="108"/>
      <c r="C466" s="128">
        <v>10000</v>
      </c>
      <c r="D466" s="143">
        <f>62175.3-100</f>
        <v>62075.3</v>
      </c>
      <c r="E466" s="126"/>
      <c r="F466" s="246">
        <f t="shared" si="140"/>
        <v>72075.3</v>
      </c>
      <c r="G466" s="207">
        <v>-100</v>
      </c>
      <c r="H466" s="209"/>
      <c r="I466" s="208">
        <f>F466+G466+H466</f>
        <v>71975.3</v>
      </c>
      <c r="J466" s="267"/>
      <c r="K466" s="7"/>
      <c r="L466" s="31">
        <f>I466+J466+K466</f>
        <v>71975.3</v>
      </c>
      <c r="M466" s="30"/>
      <c r="N466" s="7"/>
      <c r="O466" s="31">
        <f>L466+M466+N466</f>
        <v>71975.3</v>
      </c>
      <c r="P466" s="195"/>
      <c r="Q466" s="91">
        <f>O466+P466</f>
        <v>71975.3</v>
      </c>
    </row>
    <row r="467" spans="1:17" ht="12.75">
      <c r="A467" s="43" t="s">
        <v>141</v>
      </c>
      <c r="B467" s="108"/>
      <c r="C467" s="128">
        <v>2000</v>
      </c>
      <c r="D467" s="126">
        <v>5205.9</v>
      </c>
      <c r="E467" s="126"/>
      <c r="F467" s="246">
        <f t="shared" si="140"/>
        <v>7205.9</v>
      </c>
      <c r="G467" s="207"/>
      <c r="H467" s="209"/>
      <c r="I467" s="208">
        <f>F467+G467+H467</f>
        <v>7205.9</v>
      </c>
      <c r="J467" s="267"/>
      <c r="K467" s="7"/>
      <c r="L467" s="31">
        <f>I467+J467+K467</f>
        <v>7205.9</v>
      </c>
      <c r="M467" s="30"/>
      <c r="N467" s="7"/>
      <c r="O467" s="31">
        <f>L467+M467+N467</f>
        <v>7205.9</v>
      </c>
      <c r="P467" s="195"/>
      <c r="Q467" s="91">
        <f>O467+P467</f>
        <v>7205.9</v>
      </c>
    </row>
    <row r="468" spans="1:17" ht="12.75">
      <c r="A468" s="44" t="s">
        <v>174</v>
      </c>
      <c r="B468" s="108"/>
      <c r="C468" s="128"/>
      <c r="D468" s="126">
        <v>100</v>
      </c>
      <c r="E468" s="126"/>
      <c r="F468" s="246">
        <f t="shared" si="140"/>
        <v>100</v>
      </c>
      <c r="G468" s="207">
        <v>100</v>
      </c>
      <c r="H468" s="209"/>
      <c r="I468" s="208">
        <f>F468+G468+H468</f>
        <v>200</v>
      </c>
      <c r="J468" s="267"/>
      <c r="K468" s="7"/>
      <c r="L468" s="31">
        <f>I468+J468+K468</f>
        <v>200</v>
      </c>
      <c r="M468" s="30"/>
      <c r="N468" s="7"/>
      <c r="O468" s="31">
        <f>L468+M468+N468</f>
        <v>200</v>
      </c>
      <c r="P468" s="195"/>
      <c r="Q468" s="91">
        <f>O468+P468</f>
        <v>200</v>
      </c>
    </row>
    <row r="469" spans="1:17" ht="12.75">
      <c r="A469" s="43" t="s">
        <v>146</v>
      </c>
      <c r="B469" s="108"/>
      <c r="C469" s="128">
        <f aca="true" t="shared" si="144" ref="C469:Q469">C470+C471+C472</f>
        <v>2600.5</v>
      </c>
      <c r="D469" s="126">
        <f t="shared" si="144"/>
        <v>2721.9</v>
      </c>
      <c r="E469" s="126">
        <f t="shared" si="144"/>
        <v>0</v>
      </c>
      <c r="F469" s="246">
        <f t="shared" si="144"/>
        <v>5322.4</v>
      </c>
      <c r="G469" s="207">
        <f t="shared" si="144"/>
        <v>0</v>
      </c>
      <c r="H469" s="209">
        <f t="shared" si="144"/>
        <v>0</v>
      </c>
      <c r="I469" s="208">
        <f t="shared" si="144"/>
        <v>5322.4</v>
      </c>
      <c r="J469" s="269">
        <f t="shared" si="144"/>
        <v>0</v>
      </c>
      <c r="K469" s="127">
        <f t="shared" si="144"/>
        <v>0</v>
      </c>
      <c r="L469" s="127">
        <f t="shared" si="144"/>
        <v>5322.4</v>
      </c>
      <c r="M469" s="127">
        <f t="shared" si="144"/>
        <v>0</v>
      </c>
      <c r="N469" s="127">
        <f t="shared" si="144"/>
        <v>0</v>
      </c>
      <c r="O469" s="127">
        <f t="shared" si="144"/>
        <v>5322.4</v>
      </c>
      <c r="P469" s="127">
        <f t="shared" si="144"/>
        <v>0</v>
      </c>
      <c r="Q469" s="127">
        <f t="shared" si="144"/>
        <v>5322.4</v>
      </c>
    </row>
    <row r="470" spans="1:17" ht="12.75">
      <c r="A470" s="43" t="s">
        <v>147</v>
      </c>
      <c r="B470" s="108"/>
      <c r="C470" s="128"/>
      <c r="D470" s="126">
        <v>314</v>
      </c>
      <c r="E470" s="126"/>
      <c r="F470" s="246">
        <f t="shared" si="140"/>
        <v>314</v>
      </c>
      <c r="G470" s="207">
        <v>-70</v>
      </c>
      <c r="H470" s="209"/>
      <c r="I470" s="208">
        <f>F470+G470+H470</f>
        <v>244</v>
      </c>
      <c r="J470" s="267"/>
      <c r="K470" s="7"/>
      <c r="L470" s="31">
        <f>I470+J470+K470</f>
        <v>244</v>
      </c>
      <c r="M470" s="30"/>
      <c r="N470" s="7"/>
      <c r="O470" s="31">
        <f>L470+M470+N470</f>
        <v>244</v>
      </c>
      <c r="P470" s="195"/>
      <c r="Q470" s="91">
        <f>O470+P470</f>
        <v>244</v>
      </c>
    </row>
    <row r="471" spans="1:17" ht="12.75">
      <c r="A471" s="43" t="s">
        <v>145</v>
      </c>
      <c r="B471" s="108"/>
      <c r="C471" s="128">
        <v>2600.5</v>
      </c>
      <c r="D471" s="126">
        <v>2407.9</v>
      </c>
      <c r="E471" s="126"/>
      <c r="F471" s="246">
        <f t="shared" si="140"/>
        <v>5008.4</v>
      </c>
      <c r="G471" s="207">
        <v>70</v>
      </c>
      <c r="H471" s="209"/>
      <c r="I471" s="208">
        <f>F471+G471+H471</f>
        <v>5078.4</v>
      </c>
      <c r="J471" s="267"/>
      <c r="K471" s="7"/>
      <c r="L471" s="31">
        <f>I471+J471+K471</f>
        <v>5078.4</v>
      </c>
      <c r="M471" s="30"/>
      <c r="N471" s="7"/>
      <c r="O471" s="31">
        <f>L471+M471+N471</f>
        <v>5078.4</v>
      </c>
      <c r="P471" s="195"/>
      <c r="Q471" s="91">
        <f>O471+P471</f>
        <v>5078.4</v>
      </c>
    </row>
    <row r="472" spans="1:17" ht="12.75" customHeight="1" hidden="1">
      <c r="A472" s="43" t="s">
        <v>141</v>
      </c>
      <c r="B472" s="108"/>
      <c r="C472" s="128"/>
      <c r="D472" s="126"/>
      <c r="E472" s="126"/>
      <c r="F472" s="246">
        <f t="shared" si="140"/>
        <v>0</v>
      </c>
      <c r="G472" s="207"/>
      <c r="H472" s="209"/>
      <c r="I472" s="208">
        <f>F472+G472+H472</f>
        <v>0</v>
      </c>
      <c r="J472" s="267"/>
      <c r="K472" s="7"/>
      <c r="L472" s="31">
        <f>I472+J472+K472</f>
        <v>0</v>
      </c>
      <c r="M472" s="30"/>
      <c r="N472" s="7"/>
      <c r="O472" s="31">
        <f>L472+M472+N472</f>
        <v>0</v>
      </c>
      <c r="P472" s="195"/>
      <c r="Q472" s="91">
        <f>O472+P472</f>
        <v>0</v>
      </c>
    </row>
    <row r="473" spans="1:17" ht="12.75">
      <c r="A473" s="43" t="s">
        <v>148</v>
      </c>
      <c r="B473" s="108"/>
      <c r="C473" s="145">
        <f>SUM(C474:C478)</f>
        <v>25800</v>
      </c>
      <c r="D473" s="126">
        <f>SUM(D474:D478)</f>
        <v>25831.5</v>
      </c>
      <c r="E473" s="146">
        <f>SUM(E474:E478)</f>
        <v>0</v>
      </c>
      <c r="F473" s="246">
        <f>SUM(F474:F478)</f>
        <v>51631.5</v>
      </c>
      <c r="G473" s="207">
        <f aca="true" t="shared" si="145" ref="G473:Q473">SUM(G474:G478)</f>
        <v>15311.2</v>
      </c>
      <c r="H473" s="209">
        <f t="shared" si="145"/>
        <v>0</v>
      </c>
      <c r="I473" s="208">
        <f t="shared" si="145"/>
        <v>66942.7</v>
      </c>
      <c r="J473" s="269">
        <f t="shared" si="145"/>
        <v>0</v>
      </c>
      <c r="K473" s="127">
        <f t="shared" si="145"/>
        <v>0</v>
      </c>
      <c r="L473" s="127">
        <f t="shared" si="145"/>
        <v>66942.7</v>
      </c>
      <c r="M473" s="127">
        <f t="shared" si="145"/>
        <v>0</v>
      </c>
      <c r="N473" s="127">
        <f t="shared" si="145"/>
        <v>0</v>
      </c>
      <c r="O473" s="127">
        <f t="shared" si="145"/>
        <v>66942.7</v>
      </c>
      <c r="P473" s="127">
        <f t="shared" si="145"/>
        <v>0</v>
      </c>
      <c r="Q473" s="127">
        <f t="shared" si="145"/>
        <v>66942.7</v>
      </c>
    </row>
    <row r="474" spans="1:17" ht="12.75">
      <c r="A474" s="43" t="s">
        <v>149</v>
      </c>
      <c r="B474" s="108"/>
      <c r="C474" s="128">
        <v>17200</v>
      </c>
      <c r="D474" s="143">
        <f>3390.5-880+128+12900</f>
        <v>15538.5</v>
      </c>
      <c r="E474" s="126"/>
      <c r="F474" s="246">
        <f t="shared" si="140"/>
        <v>32738.5</v>
      </c>
      <c r="G474" s="207">
        <f>-2900+1090+7510</f>
        <v>5700</v>
      </c>
      <c r="H474" s="209"/>
      <c r="I474" s="208">
        <f>F474+G474+H474</f>
        <v>38438.5</v>
      </c>
      <c r="J474" s="267"/>
      <c r="K474" s="7"/>
      <c r="L474" s="31">
        <f>I474+J474+K474</f>
        <v>38438.5</v>
      </c>
      <c r="M474" s="30"/>
      <c r="N474" s="7"/>
      <c r="O474" s="31">
        <f>L474+M474+N474</f>
        <v>38438.5</v>
      </c>
      <c r="P474" s="195"/>
      <c r="Q474" s="91">
        <f aca="true" t="shared" si="146" ref="Q474:Q514">O474+P474</f>
        <v>38438.5</v>
      </c>
    </row>
    <row r="475" spans="1:17" ht="12.75">
      <c r="A475" s="43" t="s">
        <v>150</v>
      </c>
      <c r="B475" s="108"/>
      <c r="C475" s="128">
        <v>8600</v>
      </c>
      <c r="D475" s="126">
        <f>1763+880+450+5100</f>
        <v>8193</v>
      </c>
      <c r="E475" s="126"/>
      <c r="F475" s="246">
        <f t="shared" si="140"/>
        <v>16793</v>
      </c>
      <c r="G475" s="207">
        <f>2900+1261.2+5450</f>
        <v>9611.2</v>
      </c>
      <c r="H475" s="209"/>
      <c r="I475" s="208">
        <f>F475+G475+H475</f>
        <v>26404.2</v>
      </c>
      <c r="J475" s="267"/>
      <c r="K475" s="7"/>
      <c r="L475" s="31">
        <f>I475+J475+K475</f>
        <v>26404.2</v>
      </c>
      <c r="M475" s="30"/>
      <c r="N475" s="7"/>
      <c r="O475" s="31">
        <f>L475+M475+N475</f>
        <v>26404.2</v>
      </c>
      <c r="P475" s="195"/>
      <c r="Q475" s="91">
        <f t="shared" si="146"/>
        <v>26404.2</v>
      </c>
    </row>
    <row r="476" spans="1:17" ht="13.5" customHeight="1" hidden="1">
      <c r="A476" s="43" t="s">
        <v>151</v>
      </c>
      <c r="B476" s="108"/>
      <c r="C476" s="128"/>
      <c r="D476" s="126"/>
      <c r="E476" s="126"/>
      <c r="F476" s="246">
        <f t="shared" si="140"/>
        <v>0</v>
      </c>
      <c r="G476" s="207"/>
      <c r="H476" s="209"/>
      <c r="I476" s="208">
        <f>F476+G476+H476</f>
        <v>0</v>
      </c>
      <c r="J476" s="267"/>
      <c r="K476" s="7"/>
      <c r="L476" s="31">
        <f>I476+J476+K476</f>
        <v>0</v>
      </c>
      <c r="M476" s="30"/>
      <c r="N476" s="7"/>
      <c r="O476" s="31">
        <f>L476+M476+N476</f>
        <v>0</v>
      </c>
      <c r="P476" s="195"/>
      <c r="Q476" s="91">
        <f t="shared" si="146"/>
        <v>0</v>
      </c>
    </row>
    <row r="477" spans="1:17" ht="13.5" customHeight="1">
      <c r="A477" s="44" t="s">
        <v>174</v>
      </c>
      <c r="B477" s="108"/>
      <c r="C477" s="128"/>
      <c r="D477" s="126">
        <f>100+2000</f>
        <v>2100</v>
      </c>
      <c r="E477" s="126"/>
      <c r="F477" s="246">
        <f t="shared" si="140"/>
        <v>2100</v>
      </c>
      <c r="G477" s="207"/>
      <c r="H477" s="209"/>
      <c r="I477" s="208">
        <f>F477+G477+H477</f>
        <v>2100</v>
      </c>
      <c r="J477" s="267"/>
      <c r="K477" s="7"/>
      <c r="L477" s="31">
        <f>I477+J477+K477</f>
        <v>2100</v>
      </c>
      <c r="M477" s="30"/>
      <c r="N477" s="7"/>
      <c r="O477" s="31">
        <f>L477+M477+N477</f>
        <v>2100</v>
      </c>
      <c r="P477" s="195"/>
      <c r="Q477" s="91">
        <f t="shared" si="146"/>
        <v>2100</v>
      </c>
    </row>
    <row r="478" spans="1:17" ht="12.75" hidden="1">
      <c r="A478" s="43" t="s">
        <v>152</v>
      </c>
      <c r="B478" s="108"/>
      <c r="C478" s="128"/>
      <c r="D478" s="126"/>
      <c r="E478" s="126"/>
      <c r="F478" s="246">
        <f t="shared" si="140"/>
        <v>0</v>
      </c>
      <c r="G478" s="207"/>
      <c r="H478" s="209"/>
      <c r="I478" s="208">
        <f>F478+G478+H478</f>
        <v>0</v>
      </c>
      <c r="J478" s="267"/>
      <c r="K478" s="7"/>
      <c r="L478" s="31">
        <f>I478+J478+K478</f>
        <v>0</v>
      </c>
      <c r="M478" s="30"/>
      <c r="N478" s="7"/>
      <c r="O478" s="31">
        <f>L478+M478+N478</f>
        <v>0</v>
      </c>
      <c r="P478" s="195"/>
      <c r="Q478" s="91">
        <f t="shared" si="146"/>
        <v>0</v>
      </c>
    </row>
    <row r="479" spans="1:17" ht="12.75">
      <c r="A479" s="43" t="s">
        <v>153</v>
      </c>
      <c r="B479" s="108"/>
      <c r="C479" s="128">
        <f>SUM(C480:C486)</f>
        <v>40539.5</v>
      </c>
      <c r="D479" s="126">
        <f>SUM(D480:D486)</f>
        <v>42847.09999999999</v>
      </c>
      <c r="E479" s="126">
        <f>SUM(E480:E486)</f>
        <v>25000.000000000004</v>
      </c>
      <c r="F479" s="246">
        <f>SUM(F480:F486)</f>
        <v>108386.59999999999</v>
      </c>
      <c r="G479" s="207">
        <f aca="true" t="shared" si="147" ref="G479:Q479">SUM(G480:G486)</f>
        <v>10000</v>
      </c>
      <c r="H479" s="209">
        <f t="shared" si="147"/>
        <v>0</v>
      </c>
      <c r="I479" s="208">
        <f t="shared" si="147"/>
        <v>118386.59999999999</v>
      </c>
      <c r="J479" s="269">
        <f t="shared" si="147"/>
        <v>0</v>
      </c>
      <c r="K479" s="127">
        <f t="shared" si="147"/>
        <v>0</v>
      </c>
      <c r="L479" s="127">
        <f t="shared" si="147"/>
        <v>118386.59999999999</v>
      </c>
      <c r="M479" s="127">
        <f t="shared" si="147"/>
        <v>0</v>
      </c>
      <c r="N479" s="127">
        <f t="shared" si="147"/>
        <v>0</v>
      </c>
      <c r="O479" s="127">
        <f t="shared" si="147"/>
        <v>118386.59999999999</v>
      </c>
      <c r="P479" s="127">
        <f t="shared" si="147"/>
        <v>0</v>
      </c>
      <c r="Q479" s="127">
        <f t="shared" si="147"/>
        <v>118386.59999999999</v>
      </c>
    </row>
    <row r="480" spans="1:17" ht="12.75">
      <c r="A480" s="43" t="s">
        <v>154</v>
      </c>
      <c r="B480" s="108"/>
      <c r="C480" s="128">
        <v>16260</v>
      </c>
      <c r="D480" s="126">
        <f>14662.2</f>
        <v>14662.2</v>
      </c>
      <c r="E480" s="126">
        <v>15755</v>
      </c>
      <c r="F480" s="246">
        <f t="shared" si="140"/>
        <v>46677.2</v>
      </c>
      <c r="G480" s="207"/>
      <c r="H480" s="209"/>
      <c r="I480" s="208">
        <f aca="true" t="shared" si="148" ref="I480:I486">F480+G480+H480</f>
        <v>46677.2</v>
      </c>
      <c r="J480" s="267"/>
      <c r="K480" s="7"/>
      <c r="L480" s="31">
        <f aca="true" t="shared" si="149" ref="L480:L486">I480+J480+K480</f>
        <v>46677.2</v>
      </c>
      <c r="M480" s="30"/>
      <c r="N480" s="7"/>
      <c r="O480" s="31">
        <f aca="true" t="shared" si="150" ref="O480:O486">L480+M480+N480</f>
        <v>46677.2</v>
      </c>
      <c r="P480" s="195"/>
      <c r="Q480" s="91">
        <f t="shared" si="146"/>
        <v>46677.2</v>
      </c>
    </row>
    <row r="481" spans="1:17" ht="12.75">
      <c r="A481" s="43" t="s">
        <v>155</v>
      </c>
      <c r="B481" s="108"/>
      <c r="C481" s="128">
        <v>300</v>
      </c>
      <c r="D481" s="126">
        <f>11699.5</f>
        <v>11699.5</v>
      </c>
      <c r="E481" s="126">
        <v>7380</v>
      </c>
      <c r="F481" s="246">
        <f t="shared" si="140"/>
        <v>19379.5</v>
      </c>
      <c r="G481" s="207">
        <v>5000</v>
      </c>
      <c r="H481" s="209"/>
      <c r="I481" s="208">
        <f t="shared" si="148"/>
        <v>24379.5</v>
      </c>
      <c r="J481" s="267"/>
      <c r="K481" s="7"/>
      <c r="L481" s="31">
        <f t="shared" si="149"/>
        <v>24379.5</v>
      </c>
      <c r="M481" s="30"/>
      <c r="N481" s="7"/>
      <c r="O481" s="31">
        <f t="shared" si="150"/>
        <v>24379.5</v>
      </c>
      <c r="P481" s="195"/>
      <c r="Q481" s="91">
        <f t="shared" si="146"/>
        <v>24379.5</v>
      </c>
    </row>
    <row r="482" spans="1:17" ht="12.75" hidden="1">
      <c r="A482" s="43" t="s">
        <v>156</v>
      </c>
      <c r="B482" s="108"/>
      <c r="C482" s="128"/>
      <c r="D482" s="143"/>
      <c r="E482" s="126"/>
      <c r="F482" s="246">
        <f t="shared" si="140"/>
        <v>0</v>
      </c>
      <c r="G482" s="207"/>
      <c r="H482" s="209"/>
      <c r="I482" s="208">
        <f t="shared" si="148"/>
        <v>0</v>
      </c>
      <c r="J482" s="267"/>
      <c r="K482" s="7"/>
      <c r="L482" s="31">
        <f t="shared" si="149"/>
        <v>0</v>
      </c>
      <c r="M482" s="30"/>
      <c r="N482" s="7"/>
      <c r="O482" s="31">
        <f t="shared" si="150"/>
        <v>0</v>
      </c>
      <c r="P482" s="195"/>
      <c r="Q482" s="91">
        <f t="shared" si="146"/>
        <v>0</v>
      </c>
    </row>
    <row r="483" spans="1:17" ht="12.75">
      <c r="A483" s="43" t="s">
        <v>157</v>
      </c>
      <c r="B483" s="108"/>
      <c r="C483" s="128">
        <v>20210</v>
      </c>
      <c r="D483" s="126">
        <f>12000</f>
        <v>12000</v>
      </c>
      <c r="E483" s="126">
        <v>1423</v>
      </c>
      <c r="F483" s="246">
        <f t="shared" si="140"/>
        <v>33633</v>
      </c>
      <c r="G483" s="207"/>
      <c r="H483" s="209"/>
      <c r="I483" s="208">
        <f t="shared" si="148"/>
        <v>33633</v>
      </c>
      <c r="J483" s="267"/>
      <c r="K483" s="7"/>
      <c r="L483" s="31">
        <f t="shared" si="149"/>
        <v>33633</v>
      </c>
      <c r="M483" s="30"/>
      <c r="N483" s="7"/>
      <c r="O483" s="31">
        <f t="shared" si="150"/>
        <v>33633</v>
      </c>
      <c r="P483" s="195"/>
      <c r="Q483" s="91">
        <f t="shared" si="146"/>
        <v>33633</v>
      </c>
    </row>
    <row r="484" spans="1:17" ht="12.75">
      <c r="A484" s="43" t="s">
        <v>158</v>
      </c>
      <c r="B484" s="108"/>
      <c r="C484" s="128"/>
      <c r="D484" s="126"/>
      <c r="E484" s="126">
        <v>1545.4</v>
      </c>
      <c r="F484" s="246">
        <f t="shared" si="140"/>
        <v>1545.4</v>
      </c>
      <c r="G484" s="207"/>
      <c r="H484" s="209"/>
      <c r="I484" s="208">
        <f t="shared" si="148"/>
        <v>1545.4</v>
      </c>
      <c r="J484" s="271"/>
      <c r="K484" s="7"/>
      <c r="L484" s="31">
        <f t="shared" si="149"/>
        <v>1545.4</v>
      </c>
      <c r="M484" s="30"/>
      <c r="N484" s="7"/>
      <c r="O484" s="31">
        <f t="shared" si="150"/>
        <v>1545.4</v>
      </c>
      <c r="P484" s="195"/>
      <c r="Q484" s="91">
        <f t="shared" si="146"/>
        <v>1545.4</v>
      </c>
    </row>
    <row r="485" spans="1:17" ht="12.75">
      <c r="A485" s="43" t="s">
        <v>159</v>
      </c>
      <c r="B485" s="108"/>
      <c r="C485" s="128">
        <v>1930</v>
      </c>
      <c r="D485" s="126">
        <f>1479.7</f>
        <v>1479.7</v>
      </c>
      <c r="E485" s="126">
        <v>3625.9</v>
      </c>
      <c r="F485" s="246">
        <f t="shared" si="140"/>
        <v>7035.6</v>
      </c>
      <c r="G485" s="207"/>
      <c r="H485" s="209"/>
      <c r="I485" s="208">
        <f t="shared" si="148"/>
        <v>7035.6</v>
      </c>
      <c r="J485" s="267"/>
      <c r="K485" s="7"/>
      <c r="L485" s="31">
        <f t="shared" si="149"/>
        <v>7035.6</v>
      </c>
      <c r="M485" s="30"/>
      <c r="N485" s="7"/>
      <c r="O485" s="31">
        <f t="shared" si="150"/>
        <v>7035.6</v>
      </c>
      <c r="P485" s="195"/>
      <c r="Q485" s="91">
        <f t="shared" si="146"/>
        <v>7035.6</v>
      </c>
    </row>
    <row r="486" spans="1:17" ht="12.75">
      <c r="A486" s="43" t="s">
        <v>152</v>
      </c>
      <c r="B486" s="108"/>
      <c r="C486" s="128">
        <v>1839.5</v>
      </c>
      <c r="D486" s="126">
        <f>3005.7</f>
        <v>3005.7</v>
      </c>
      <c r="E486" s="126">
        <v>-4729.3</v>
      </c>
      <c r="F486" s="246">
        <f t="shared" si="140"/>
        <v>115.89999999999964</v>
      </c>
      <c r="G486" s="207">
        <v>5000</v>
      </c>
      <c r="H486" s="209"/>
      <c r="I486" s="208">
        <f t="shared" si="148"/>
        <v>5115.9</v>
      </c>
      <c r="J486" s="267"/>
      <c r="K486" s="7"/>
      <c r="L486" s="31">
        <f t="shared" si="149"/>
        <v>5115.9</v>
      </c>
      <c r="M486" s="30"/>
      <c r="N486" s="7"/>
      <c r="O486" s="31">
        <f t="shared" si="150"/>
        <v>5115.9</v>
      </c>
      <c r="P486" s="195"/>
      <c r="Q486" s="91">
        <f t="shared" si="146"/>
        <v>5115.9</v>
      </c>
    </row>
    <row r="487" spans="1:17" ht="12.75">
      <c r="A487" s="43" t="s">
        <v>160</v>
      </c>
      <c r="B487" s="108"/>
      <c r="C487" s="128">
        <f>SUM(C488:C491)</f>
        <v>1500</v>
      </c>
      <c r="D487" s="126">
        <f>SUM(D488:D491)</f>
        <v>479.3</v>
      </c>
      <c r="E487" s="126">
        <f>SUM(E488:E491)</f>
        <v>0</v>
      </c>
      <c r="F487" s="246">
        <f>SUM(F488:F491)</f>
        <v>1979.3</v>
      </c>
      <c r="G487" s="207">
        <f aca="true" t="shared" si="151" ref="G487:Q487">SUM(G488:G491)</f>
        <v>0</v>
      </c>
      <c r="H487" s="209">
        <f t="shared" si="151"/>
        <v>0</v>
      </c>
      <c r="I487" s="208">
        <f t="shared" si="151"/>
        <v>1979.3</v>
      </c>
      <c r="J487" s="269">
        <f t="shared" si="151"/>
        <v>0</v>
      </c>
      <c r="K487" s="127">
        <f t="shared" si="151"/>
        <v>0</v>
      </c>
      <c r="L487" s="127">
        <f t="shared" si="151"/>
        <v>1979.3</v>
      </c>
      <c r="M487" s="127">
        <f t="shared" si="151"/>
        <v>0</v>
      </c>
      <c r="N487" s="127">
        <f t="shared" si="151"/>
        <v>0</v>
      </c>
      <c r="O487" s="127">
        <f t="shared" si="151"/>
        <v>1979.3</v>
      </c>
      <c r="P487" s="127">
        <f t="shared" si="151"/>
        <v>0</v>
      </c>
      <c r="Q487" s="127">
        <f t="shared" si="151"/>
        <v>1979.3</v>
      </c>
    </row>
    <row r="488" spans="1:17" ht="12.75">
      <c r="A488" s="43" t="s">
        <v>149</v>
      </c>
      <c r="B488" s="108"/>
      <c r="C488" s="128">
        <v>735</v>
      </c>
      <c r="D488" s="126"/>
      <c r="E488" s="126"/>
      <c r="F488" s="246">
        <f t="shared" si="140"/>
        <v>735</v>
      </c>
      <c r="G488" s="207">
        <v>381</v>
      </c>
      <c r="H488" s="209"/>
      <c r="I488" s="208">
        <f>F488+G488+H488</f>
        <v>1116</v>
      </c>
      <c r="J488" s="267"/>
      <c r="K488" s="7"/>
      <c r="L488" s="31">
        <f>I488+J488+K488</f>
        <v>1116</v>
      </c>
      <c r="M488" s="30"/>
      <c r="N488" s="7"/>
      <c r="O488" s="31">
        <f>L488+M488+N488</f>
        <v>1116</v>
      </c>
      <c r="P488" s="195"/>
      <c r="Q488" s="91">
        <f t="shared" si="146"/>
        <v>1116</v>
      </c>
    </row>
    <row r="489" spans="1:17" ht="12.75">
      <c r="A489" s="43" t="s">
        <v>150</v>
      </c>
      <c r="B489" s="108"/>
      <c r="C489" s="128">
        <v>265</v>
      </c>
      <c r="D489" s="126"/>
      <c r="E489" s="126"/>
      <c r="F489" s="246">
        <f t="shared" si="140"/>
        <v>265</v>
      </c>
      <c r="G489" s="207">
        <f>100-55</f>
        <v>45</v>
      </c>
      <c r="H489" s="209"/>
      <c r="I489" s="208">
        <f>F489+G489+H489</f>
        <v>310</v>
      </c>
      <c r="J489" s="267"/>
      <c r="K489" s="7"/>
      <c r="L489" s="31">
        <f>I489+J489+K489</f>
        <v>310</v>
      </c>
      <c r="M489" s="30"/>
      <c r="N489" s="7"/>
      <c r="O489" s="31">
        <f>L489+M489+N489</f>
        <v>310</v>
      </c>
      <c r="P489" s="195"/>
      <c r="Q489" s="91">
        <f t="shared" si="146"/>
        <v>310</v>
      </c>
    </row>
    <row r="490" spans="1:17" ht="12.75">
      <c r="A490" s="43" t="s">
        <v>151</v>
      </c>
      <c r="B490" s="108"/>
      <c r="C490" s="128">
        <v>500</v>
      </c>
      <c r="D490" s="126"/>
      <c r="E490" s="126"/>
      <c r="F490" s="246">
        <f t="shared" si="140"/>
        <v>500</v>
      </c>
      <c r="G490" s="207"/>
      <c r="H490" s="209"/>
      <c r="I490" s="208">
        <f>F490+G490+H490</f>
        <v>500</v>
      </c>
      <c r="J490" s="267"/>
      <c r="K490" s="7"/>
      <c r="L490" s="31">
        <f>I490+J490+K490</f>
        <v>500</v>
      </c>
      <c r="M490" s="30"/>
      <c r="N490" s="7"/>
      <c r="O490" s="31">
        <f>L490+M490+N490</f>
        <v>500</v>
      </c>
      <c r="P490" s="195"/>
      <c r="Q490" s="91">
        <f t="shared" si="146"/>
        <v>500</v>
      </c>
    </row>
    <row r="491" spans="1:17" ht="12.75">
      <c r="A491" s="43" t="s">
        <v>152</v>
      </c>
      <c r="B491" s="108"/>
      <c r="C491" s="128">
        <v>0</v>
      </c>
      <c r="D491" s="126">
        <v>479.3</v>
      </c>
      <c r="E491" s="126"/>
      <c r="F491" s="246">
        <f t="shared" si="140"/>
        <v>479.3</v>
      </c>
      <c r="G491" s="207">
        <f>-100-326</f>
        <v>-426</v>
      </c>
      <c r="H491" s="209"/>
      <c r="I491" s="208">
        <f>F491+G491+H491</f>
        <v>53.30000000000001</v>
      </c>
      <c r="J491" s="267"/>
      <c r="K491" s="7"/>
      <c r="L491" s="31">
        <f>I491+J491+K491</f>
        <v>53.30000000000001</v>
      </c>
      <c r="M491" s="30"/>
      <c r="N491" s="7"/>
      <c r="O491" s="31">
        <f>L491+M491+N491</f>
        <v>53.30000000000001</v>
      </c>
      <c r="P491" s="195"/>
      <c r="Q491" s="91">
        <f t="shared" si="146"/>
        <v>53.30000000000001</v>
      </c>
    </row>
    <row r="492" spans="1:17" ht="12.75">
      <c r="A492" s="43" t="s">
        <v>161</v>
      </c>
      <c r="B492" s="108"/>
      <c r="C492" s="128">
        <f>SUM(C493:C497)</f>
        <v>18000</v>
      </c>
      <c r="D492" s="126">
        <f>SUM(D493:D497)</f>
        <v>36227</v>
      </c>
      <c r="E492" s="126">
        <f>SUM(E493:E497)</f>
        <v>0</v>
      </c>
      <c r="F492" s="246">
        <f>SUM(F493:F497)</f>
        <v>54227</v>
      </c>
      <c r="G492" s="207">
        <f aca="true" t="shared" si="152" ref="G492:Q492">SUM(G493:G497)</f>
        <v>1900</v>
      </c>
      <c r="H492" s="209">
        <f t="shared" si="152"/>
        <v>0</v>
      </c>
      <c r="I492" s="208">
        <f t="shared" si="152"/>
        <v>56127</v>
      </c>
      <c r="J492" s="269">
        <f t="shared" si="152"/>
        <v>0</v>
      </c>
      <c r="K492" s="127">
        <f t="shared" si="152"/>
        <v>0</v>
      </c>
      <c r="L492" s="127">
        <f t="shared" si="152"/>
        <v>56127</v>
      </c>
      <c r="M492" s="127">
        <f t="shared" si="152"/>
        <v>0</v>
      </c>
      <c r="N492" s="127">
        <f t="shared" si="152"/>
        <v>-60.6</v>
      </c>
      <c r="O492" s="127">
        <f t="shared" si="152"/>
        <v>56066.4</v>
      </c>
      <c r="P492" s="127">
        <f t="shared" si="152"/>
        <v>0</v>
      </c>
      <c r="Q492" s="127">
        <f t="shared" si="152"/>
        <v>56066.4</v>
      </c>
    </row>
    <row r="493" spans="1:17" ht="12.75">
      <c r="A493" s="43" t="s">
        <v>149</v>
      </c>
      <c r="B493" s="108"/>
      <c r="C493" s="128"/>
      <c r="D493" s="126">
        <f>4411.1+5000</f>
        <v>9411.1</v>
      </c>
      <c r="E493" s="126">
        <v>988.9</v>
      </c>
      <c r="F493" s="246">
        <f t="shared" si="140"/>
        <v>10400</v>
      </c>
      <c r="G493" s="207">
        <v>900</v>
      </c>
      <c r="H493" s="209"/>
      <c r="I493" s="208">
        <f aca="true" t="shared" si="153" ref="I493:I499">F493+G493+H493</f>
        <v>11300</v>
      </c>
      <c r="J493" s="267"/>
      <c r="K493" s="7"/>
      <c r="L493" s="31">
        <f>I493+J493+K493</f>
        <v>11300</v>
      </c>
      <c r="M493" s="30"/>
      <c r="N493" s="7"/>
      <c r="O493" s="31">
        <f>L493+M493+N493</f>
        <v>11300</v>
      </c>
      <c r="P493" s="195"/>
      <c r="Q493" s="91">
        <f t="shared" si="146"/>
        <v>11300</v>
      </c>
    </row>
    <row r="494" spans="1:17" ht="12.75">
      <c r="A494" s="43" t="s">
        <v>150</v>
      </c>
      <c r="B494" s="108"/>
      <c r="C494" s="128"/>
      <c r="D494" s="126">
        <f>652.1</f>
        <v>652.1</v>
      </c>
      <c r="E494" s="126">
        <v>-52.1</v>
      </c>
      <c r="F494" s="246">
        <f t="shared" si="140"/>
        <v>600</v>
      </c>
      <c r="G494" s="207"/>
      <c r="H494" s="209"/>
      <c r="I494" s="208">
        <f t="shared" si="153"/>
        <v>600</v>
      </c>
      <c r="J494" s="267"/>
      <c r="K494" s="7"/>
      <c r="L494" s="31">
        <f>I494+J494+K494</f>
        <v>600</v>
      </c>
      <c r="M494" s="30"/>
      <c r="N494" s="7"/>
      <c r="O494" s="31">
        <f>L494+M494+N494</f>
        <v>600</v>
      </c>
      <c r="P494" s="195"/>
      <c r="Q494" s="91">
        <f t="shared" si="146"/>
        <v>600</v>
      </c>
    </row>
    <row r="495" spans="1:17" ht="12.75">
      <c r="A495" s="43" t="s">
        <v>162</v>
      </c>
      <c r="B495" s="108"/>
      <c r="C495" s="128">
        <v>17000</v>
      </c>
      <c r="D495" s="126">
        <f>26119.8</f>
        <v>26119.8</v>
      </c>
      <c r="E495" s="126">
        <v>-66.4</v>
      </c>
      <c r="F495" s="246">
        <f t="shared" si="140"/>
        <v>43053.4</v>
      </c>
      <c r="G495" s="207">
        <f>100+1000</f>
        <v>1100</v>
      </c>
      <c r="H495" s="209"/>
      <c r="I495" s="208">
        <f t="shared" si="153"/>
        <v>44153.4</v>
      </c>
      <c r="J495" s="267"/>
      <c r="K495" s="7"/>
      <c r="L495" s="31">
        <f>I495+J495+K495</f>
        <v>44153.4</v>
      </c>
      <c r="M495" s="30"/>
      <c r="N495" s="7"/>
      <c r="O495" s="31">
        <f>L495+M495+N495</f>
        <v>44153.4</v>
      </c>
      <c r="P495" s="195"/>
      <c r="Q495" s="91">
        <f t="shared" si="146"/>
        <v>44153.4</v>
      </c>
    </row>
    <row r="496" spans="1:17" ht="12.75" hidden="1">
      <c r="A496" s="43" t="s">
        <v>159</v>
      </c>
      <c r="B496" s="108"/>
      <c r="C496" s="128"/>
      <c r="D496" s="126"/>
      <c r="E496" s="126"/>
      <c r="F496" s="246">
        <f t="shared" si="140"/>
        <v>0</v>
      </c>
      <c r="G496" s="207"/>
      <c r="H496" s="209"/>
      <c r="I496" s="208">
        <f t="shared" si="153"/>
        <v>0</v>
      </c>
      <c r="J496" s="267"/>
      <c r="K496" s="7"/>
      <c r="L496" s="31">
        <f>I496+J496+K496</f>
        <v>0</v>
      </c>
      <c r="M496" s="30"/>
      <c r="N496" s="7"/>
      <c r="O496" s="31">
        <f>L496+M496+N496</f>
        <v>0</v>
      </c>
      <c r="P496" s="195"/>
      <c r="Q496" s="91">
        <f t="shared" si="146"/>
        <v>0</v>
      </c>
    </row>
    <row r="497" spans="1:17" ht="12.75">
      <c r="A497" s="52" t="s">
        <v>152</v>
      </c>
      <c r="B497" s="111"/>
      <c r="C497" s="138">
        <v>1000</v>
      </c>
      <c r="D497" s="153">
        <v>44</v>
      </c>
      <c r="E497" s="139">
        <v>-870.4</v>
      </c>
      <c r="F497" s="250">
        <f t="shared" si="140"/>
        <v>173.60000000000002</v>
      </c>
      <c r="G497" s="218">
        <v>-100</v>
      </c>
      <c r="H497" s="219"/>
      <c r="I497" s="220">
        <f t="shared" si="153"/>
        <v>73.60000000000002</v>
      </c>
      <c r="J497" s="267"/>
      <c r="K497" s="7"/>
      <c r="L497" s="31">
        <f>I497+J497+K497</f>
        <v>73.60000000000002</v>
      </c>
      <c r="M497" s="30"/>
      <c r="N497" s="7">
        <v>-60.6</v>
      </c>
      <c r="O497" s="31">
        <f>L497+M497+N497</f>
        <v>13.000000000000021</v>
      </c>
      <c r="P497" s="195"/>
      <c r="Q497" s="91">
        <f t="shared" si="146"/>
        <v>13.000000000000021</v>
      </c>
    </row>
    <row r="498" spans="1:17" ht="12.75">
      <c r="A498" s="47" t="s">
        <v>352</v>
      </c>
      <c r="B498" s="111"/>
      <c r="C498" s="138"/>
      <c r="D498" s="153"/>
      <c r="E498" s="139"/>
      <c r="F498" s="250">
        <f t="shared" si="140"/>
        <v>0</v>
      </c>
      <c r="G498" s="218">
        <v>10</v>
      </c>
      <c r="H498" s="219"/>
      <c r="I498" s="220">
        <f t="shared" si="153"/>
        <v>10</v>
      </c>
      <c r="J498" s="267"/>
      <c r="K498" s="7"/>
      <c r="L498" s="31"/>
      <c r="M498" s="30"/>
      <c r="N498" s="7"/>
      <c r="O498" s="31"/>
      <c r="P498" s="195"/>
      <c r="Q498" s="91"/>
    </row>
    <row r="499" spans="1:17" ht="12.75" hidden="1">
      <c r="A499" s="47" t="s">
        <v>163</v>
      </c>
      <c r="B499" s="111"/>
      <c r="C499" s="138"/>
      <c r="D499" s="139"/>
      <c r="E499" s="139"/>
      <c r="F499" s="250">
        <f t="shared" si="140"/>
        <v>0</v>
      </c>
      <c r="G499" s="306"/>
      <c r="H499" s="307"/>
      <c r="I499" s="308">
        <f t="shared" si="153"/>
        <v>0</v>
      </c>
      <c r="J499" s="267"/>
      <c r="K499" s="7"/>
      <c r="L499" s="31"/>
      <c r="M499" s="30"/>
      <c r="N499" s="7"/>
      <c r="O499" s="31"/>
      <c r="P499" s="195"/>
      <c r="Q499" s="91"/>
    </row>
    <row r="500" spans="1:17" ht="13.5" thickBot="1">
      <c r="A500" s="58" t="s">
        <v>164</v>
      </c>
      <c r="B500" s="112"/>
      <c r="C500" s="129">
        <v>4959.7</v>
      </c>
      <c r="D500" s="130">
        <v>88.3</v>
      </c>
      <c r="E500" s="130"/>
      <c r="F500" s="247">
        <f>SUM(C500:E500)</f>
        <v>5048</v>
      </c>
      <c r="G500" s="211"/>
      <c r="H500" s="212"/>
      <c r="I500" s="210">
        <f>SUM(F500:H500)</f>
        <v>5048</v>
      </c>
      <c r="J500" s="13"/>
      <c r="K500" s="8"/>
      <c r="L500" s="87">
        <f>SUM(I500:K500)</f>
        <v>5048</v>
      </c>
      <c r="M500" s="32"/>
      <c r="N500" s="8"/>
      <c r="O500" s="33">
        <f>SUM(L500:N500)</f>
        <v>5048</v>
      </c>
      <c r="P500" s="201"/>
      <c r="Q500" s="37">
        <f>O500+P500</f>
        <v>5048</v>
      </c>
    </row>
    <row r="501" spans="1:17" ht="15.75" thickBot="1">
      <c r="A501" s="59" t="s">
        <v>165</v>
      </c>
      <c r="B501" s="115"/>
      <c r="C501" s="163">
        <f>C96+C114+C140+C156+C165+C185+C195+C239+C285+C303+C366+C397+C417+C424+C447+C451+C500+C431+C319</f>
        <v>3228042.1000000006</v>
      </c>
      <c r="D501" s="175">
        <f>D96+D114+D140+D156+D165+D185+D195+D239+D285+D303+D366+D397+D417+D424+D447+D451+D500+D431+D319</f>
        <v>5328275.059999999</v>
      </c>
      <c r="E501" s="175">
        <f>E96+E114+E140+E156+E165+E185+E195+E239+E285+E303+E366+E397+E417+E424+E447+E451+E500+E431+E319</f>
        <v>3227.7000000000007</v>
      </c>
      <c r="F501" s="254">
        <f>F96+F114+F140+F156+F165+F185+F195+F239+F285+F303+F366+F397+F417+F424+F447+F451+F500+F431+F319</f>
        <v>8559544.86</v>
      </c>
      <c r="G501" s="293">
        <f aca="true" t="shared" si="154" ref="G501:Q501">G96+G114+G140+G156+G165+G185+G195+G239+G285+G303+G366+G397+G417+G424+G447+G451+G500+G431+G319</f>
        <v>663522.53</v>
      </c>
      <c r="H501" s="294">
        <f t="shared" si="154"/>
        <v>0</v>
      </c>
      <c r="I501" s="225">
        <f t="shared" si="154"/>
        <v>9223067.389999999</v>
      </c>
      <c r="J501" s="277">
        <f t="shared" si="154"/>
        <v>0</v>
      </c>
      <c r="K501" s="172">
        <f t="shared" si="154"/>
        <v>0</v>
      </c>
      <c r="L501" s="172">
        <f t="shared" si="154"/>
        <v>7985926.5</v>
      </c>
      <c r="M501" s="172">
        <f t="shared" si="154"/>
        <v>0</v>
      </c>
      <c r="N501" s="172">
        <f t="shared" si="154"/>
        <v>-60.6</v>
      </c>
      <c r="O501" s="172">
        <f t="shared" si="154"/>
        <v>7985865.9</v>
      </c>
      <c r="P501" s="172">
        <f t="shared" si="154"/>
        <v>0</v>
      </c>
      <c r="Q501" s="172">
        <f t="shared" si="154"/>
        <v>7985865.9</v>
      </c>
    </row>
    <row r="502" spans="1:17" ht="13.5" thickBot="1">
      <c r="A502" s="60" t="s">
        <v>166</v>
      </c>
      <c r="B502" s="115"/>
      <c r="C502" s="164">
        <v>-4959.7</v>
      </c>
      <c r="D502" s="176">
        <v>-88.3</v>
      </c>
      <c r="E502" s="183"/>
      <c r="F502" s="255">
        <f>SUM(C502:E502)</f>
        <v>-5048</v>
      </c>
      <c r="G502" s="295"/>
      <c r="H502" s="226"/>
      <c r="I502" s="227">
        <f>SUM(F502:H502)</f>
        <v>-5048</v>
      </c>
      <c r="J502" s="278"/>
      <c r="K502" s="14"/>
      <c r="L502" s="15">
        <f>SUM(I502:K502)</f>
        <v>-5048</v>
      </c>
      <c r="M502" s="22"/>
      <c r="N502" s="14"/>
      <c r="O502" s="15">
        <f>SUM(L502:N502)</f>
        <v>-5048</v>
      </c>
      <c r="P502" s="195"/>
      <c r="Q502" s="90">
        <f t="shared" si="146"/>
        <v>-5048</v>
      </c>
    </row>
    <row r="503" spans="1:17" ht="16.5" thickBot="1">
      <c r="A503" s="61" t="s">
        <v>167</v>
      </c>
      <c r="B503" s="115"/>
      <c r="C503" s="165">
        <f aca="true" t="shared" si="155" ref="C503:Q503">C501+C502</f>
        <v>3223082.4000000004</v>
      </c>
      <c r="D503" s="177">
        <f t="shared" si="155"/>
        <v>5328186.759999999</v>
      </c>
      <c r="E503" s="177">
        <f>E501+E502</f>
        <v>3227.7000000000007</v>
      </c>
      <c r="F503" s="256">
        <f t="shared" si="155"/>
        <v>8554496.86</v>
      </c>
      <c r="G503" s="296">
        <f t="shared" si="155"/>
        <v>663522.53</v>
      </c>
      <c r="H503" s="297">
        <f t="shared" si="155"/>
        <v>0</v>
      </c>
      <c r="I503" s="228">
        <f t="shared" si="155"/>
        <v>9218019.389999999</v>
      </c>
      <c r="J503" s="279">
        <f t="shared" si="155"/>
        <v>0</v>
      </c>
      <c r="K503" s="154">
        <f t="shared" si="155"/>
        <v>0</v>
      </c>
      <c r="L503" s="154">
        <f t="shared" si="155"/>
        <v>7980878.5</v>
      </c>
      <c r="M503" s="154">
        <f t="shared" si="155"/>
        <v>0</v>
      </c>
      <c r="N503" s="154">
        <f t="shared" si="155"/>
        <v>-60.6</v>
      </c>
      <c r="O503" s="154">
        <f t="shared" si="155"/>
        <v>7980817.9</v>
      </c>
      <c r="P503" s="154">
        <f t="shared" si="155"/>
        <v>0</v>
      </c>
      <c r="Q503" s="154">
        <f t="shared" si="155"/>
        <v>7980817.9</v>
      </c>
    </row>
    <row r="504" spans="1:17" ht="15.75">
      <c r="A504" s="62" t="s">
        <v>38</v>
      </c>
      <c r="B504" s="116"/>
      <c r="C504" s="166"/>
      <c r="D504" s="178"/>
      <c r="E504" s="178"/>
      <c r="F504" s="257"/>
      <c r="G504" s="298"/>
      <c r="H504" s="229"/>
      <c r="I504" s="230"/>
      <c r="J504" s="280"/>
      <c r="K504" s="16"/>
      <c r="L504" s="17"/>
      <c r="M504" s="18"/>
      <c r="N504" s="16"/>
      <c r="O504" s="17"/>
      <c r="P504" s="195"/>
      <c r="Q504" s="91"/>
    </row>
    <row r="505" spans="1:17" ht="15.75">
      <c r="A505" s="63" t="s">
        <v>69</v>
      </c>
      <c r="B505" s="117"/>
      <c r="C505" s="167">
        <f>C97+C115+C141+C157+C166+C186+C196+C240+C286+C304+C367+C398+C418+C425+C448+C453+C500+C502+C432+C320</f>
        <v>2832911.5000000005</v>
      </c>
      <c r="D505" s="179">
        <f>D97+D115+D141+D157+D166+D186+D196+D240+D286+D304+D367+D398+D418+D425+D448+D453+D500+D502+D432+D320</f>
        <v>4677558.01</v>
      </c>
      <c r="E505" s="179">
        <f>E97+E115+E141+E157+E166+E186+E196+E240+E286+E304+E367+E398+E418+E425+E448+E453+E500+E502+E432+E320</f>
        <v>-20253.1</v>
      </c>
      <c r="F505" s="258">
        <f>F97+F115+F141+F157+F166+F186+F196+F240+F286+F304+F367+F398+F418+F425+F448+F453+F500+F502+F432+F320</f>
        <v>7490216.410000001</v>
      </c>
      <c r="G505" s="299">
        <f aca="true" t="shared" si="156" ref="G505:Q505">G97+G115+G141+G157+G166+G186+G196+G240+G286+G304+G367+G398+G418+G425+G448+G453+G500+G502+G432+G320</f>
        <v>500211.04000000004</v>
      </c>
      <c r="H505" s="300">
        <f t="shared" si="156"/>
        <v>0</v>
      </c>
      <c r="I505" s="231">
        <f t="shared" si="156"/>
        <v>7990427.45</v>
      </c>
      <c r="J505" s="281">
        <f t="shared" si="156"/>
        <v>0</v>
      </c>
      <c r="K505" s="173">
        <f t="shared" si="156"/>
        <v>0</v>
      </c>
      <c r="L505" s="173">
        <f t="shared" si="156"/>
        <v>7606319.970000001</v>
      </c>
      <c r="M505" s="173">
        <f t="shared" si="156"/>
        <v>0</v>
      </c>
      <c r="N505" s="173">
        <f t="shared" si="156"/>
        <v>0</v>
      </c>
      <c r="O505" s="173">
        <f t="shared" si="156"/>
        <v>7606319.970000001</v>
      </c>
      <c r="P505" s="173">
        <f t="shared" si="156"/>
        <v>0</v>
      </c>
      <c r="Q505" s="173">
        <f t="shared" si="156"/>
        <v>7606319.970000001</v>
      </c>
    </row>
    <row r="506" spans="1:17" ht="16.5" thickBot="1">
      <c r="A506" s="49" t="s">
        <v>75</v>
      </c>
      <c r="B506" s="118"/>
      <c r="C506" s="168">
        <f>C109+C136+C149+C162+C180+C191+C226+C277+C297+C313+C392+C409+C421+C454+C443+C341</f>
        <v>390170.9</v>
      </c>
      <c r="D506" s="180">
        <f>D109+D136+D149+D162+D180+D191+D226+D277+D297+D313+D392+D409+D421+D454+D443+D341</f>
        <v>650628.75</v>
      </c>
      <c r="E506" s="180">
        <f>E109+E136+E149+E162+E180+E191+E226+E277+E297+E313+E392+E409+E421+E454+E443+E341</f>
        <v>23480.8</v>
      </c>
      <c r="F506" s="259">
        <f>F109+F136+F149+F162+F180+F191+F226+F277+F297+F313+F392+F409+F421+F454+F443+F341</f>
        <v>1064280.45</v>
      </c>
      <c r="G506" s="301">
        <f aca="true" t="shared" si="157" ref="G506:Q506">G109+G136+G149+G162+G180+G191+G226+G277+G297+G313+G392+G409+G421+G454+G443+G341</f>
        <v>163311.49000000002</v>
      </c>
      <c r="H506" s="302">
        <f t="shared" si="157"/>
        <v>0</v>
      </c>
      <c r="I506" s="232">
        <f t="shared" si="157"/>
        <v>1227591.94</v>
      </c>
      <c r="J506" s="282">
        <f t="shared" si="157"/>
        <v>0</v>
      </c>
      <c r="K506" s="174">
        <f t="shared" si="157"/>
        <v>0</v>
      </c>
      <c r="L506" s="174">
        <f t="shared" si="157"/>
        <v>374558.5299999999</v>
      </c>
      <c r="M506" s="174">
        <f t="shared" si="157"/>
        <v>0</v>
      </c>
      <c r="N506" s="174">
        <f t="shared" si="157"/>
        <v>-60.6</v>
      </c>
      <c r="O506" s="174">
        <f t="shared" si="157"/>
        <v>374497.92999999993</v>
      </c>
      <c r="P506" s="174">
        <f t="shared" si="157"/>
        <v>0</v>
      </c>
      <c r="Q506" s="174">
        <f t="shared" si="157"/>
        <v>374497.92999999993</v>
      </c>
    </row>
    <row r="507" spans="1:17" ht="15.75">
      <c r="A507" s="62" t="s">
        <v>168</v>
      </c>
      <c r="B507" s="116"/>
      <c r="C507" s="169">
        <f>SUM(C509:C514)</f>
        <v>-112500</v>
      </c>
      <c r="D507" s="181">
        <f>SUM(D509:D514)</f>
        <v>903316.2499999999</v>
      </c>
      <c r="E507" s="181">
        <f>SUM(E509:E514)</f>
        <v>2500</v>
      </c>
      <c r="F507" s="260">
        <f>SUM(F509:F514)</f>
        <v>793316.2499999999</v>
      </c>
      <c r="G507" s="303">
        <f aca="true" t="shared" si="158" ref="G507:Q507">SUM(G509:G514)</f>
        <v>26583.6</v>
      </c>
      <c r="H507" s="304">
        <f t="shared" si="158"/>
        <v>0</v>
      </c>
      <c r="I507" s="233">
        <f t="shared" si="158"/>
        <v>819899.8499999999</v>
      </c>
      <c r="J507" s="283">
        <f t="shared" si="158"/>
        <v>0</v>
      </c>
      <c r="K507" s="155">
        <f t="shared" si="158"/>
        <v>0</v>
      </c>
      <c r="L507" s="155">
        <f t="shared" si="158"/>
        <v>819899.8499999999</v>
      </c>
      <c r="M507" s="155">
        <f t="shared" si="158"/>
        <v>0</v>
      </c>
      <c r="N507" s="155">
        <f t="shared" si="158"/>
        <v>0</v>
      </c>
      <c r="O507" s="155">
        <f t="shared" si="158"/>
        <v>819899.8499999999</v>
      </c>
      <c r="P507" s="155">
        <f t="shared" si="158"/>
        <v>0</v>
      </c>
      <c r="Q507" s="155">
        <f t="shared" si="158"/>
        <v>819899.8499999999</v>
      </c>
    </row>
    <row r="508" spans="1:17" ht="12.75" customHeight="1">
      <c r="A508" s="64" t="s">
        <v>38</v>
      </c>
      <c r="B508" s="119"/>
      <c r="C508" s="170"/>
      <c r="D508" s="182"/>
      <c r="E508" s="156"/>
      <c r="F508" s="261"/>
      <c r="G508" s="305"/>
      <c r="H508" s="234"/>
      <c r="I508" s="235"/>
      <c r="J508" s="95"/>
      <c r="K508" s="19"/>
      <c r="L508" s="72"/>
      <c r="M508" s="23"/>
      <c r="N508" s="19"/>
      <c r="O508" s="72"/>
      <c r="P508" s="195"/>
      <c r="Q508" s="91"/>
    </row>
    <row r="509" spans="1:17" ht="14.25">
      <c r="A509" s="64" t="s">
        <v>169</v>
      </c>
      <c r="B509" s="119"/>
      <c r="C509" s="171">
        <v>50000</v>
      </c>
      <c r="D509" s="160"/>
      <c r="E509" s="157"/>
      <c r="F509" s="261">
        <f aca="true" t="shared" si="159" ref="F509:F514">SUM(C509:E509)</f>
        <v>50000</v>
      </c>
      <c r="G509" s="237"/>
      <c r="H509" s="236"/>
      <c r="I509" s="235">
        <f aca="true" t="shared" si="160" ref="I509:I514">SUM(F509:H509)</f>
        <v>50000</v>
      </c>
      <c r="J509" s="96"/>
      <c r="K509" s="20"/>
      <c r="L509" s="72">
        <f aca="true" t="shared" si="161" ref="L509:L514">SUM(I509:K509)</f>
        <v>50000</v>
      </c>
      <c r="M509" s="24"/>
      <c r="N509" s="20"/>
      <c r="O509" s="72">
        <f aca="true" t="shared" si="162" ref="O509:O514">SUM(L509:N509)</f>
        <v>50000</v>
      </c>
      <c r="P509" s="195"/>
      <c r="Q509" s="91">
        <f t="shared" si="146"/>
        <v>50000</v>
      </c>
    </row>
    <row r="510" spans="1:17" ht="14.25">
      <c r="A510" s="65" t="s">
        <v>179</v>
      </c>
      <c r="B510" s="119"/>
      <c r="C510" s="171">
        <v>-162500</v>
      </c>
      <c r="D510" s="160"/>
      <c r="E510" s="157"/>
      <c r="F510" s="261">
        <f t="shared" si="159"/>
        <v>-162500</v>
      </c>
      <c r="G510" s="237"/>
      <c r="H510" s="236"/>
      <c r="I510" s="235">
        <f t="shared" si="160"/>
        <v>-162500</v>
      </c>
      <c r="J510" s="96"/>
      <c r="K510" s="20"/>
      <c r="L510" s="72">
        <f t="shared" si="161"/>
        <v>-162500</v>
      </c>
      <c r="M510" s="24"/>
      <c r="N510" s="20"/>
      <c r="O510" s="72">
        <f t="shared" si="162"/>
        <v>-162500</v>
      </c>
      <c r="P510" s="195"/>
      <c r="Q510" s="91">
        <f t="shared" si="146"/>
        <v>-162500</v>
      </c>
    </row>
    <row r="511" spans="1:17" ht="14.25" hidden="1">
      <c r="A511" s="65" t="s">
        <v>170</v>
      </c>
      <c r="B511" s="120"/>
      <c r="C511" s="158"/>
      <c r="D511" s="159"/>
      <c r="E511" s="160"/>
      <c r="F511" s="261">
        <f t="shared" si="159"/>
        <v>0</v>
      </c>
      <c r="G511" s="237"/>
      <c r="H511" s="236"/>
      <c r="I511" s="235">
        <f t="shared" si="160"/>
        <v>0</v>
      </c>
      <c r="J511" s="96"/>
      <c r="K511" s="20"/>
      <c r="L511" s="72">
        <f t="shared" si="161"/>
        <v>0</v>
      </c>
      <c r="M511" s="24"/>
      <c r="N511" s="20"/>
      <c r="O511" s="72">
        <f t="shared" si="162"/>
        <v>0</v>
      </c>
      <c r="P511" s="195"/>
      <c r="Q511" s="91">
        <f t="shared" si="146"/>
        <v>0</v>
      </c>
    </row>
    <row r="512" spans="1:17" ht="14.25" hidden="1">
      <c r="A512" s="64" t="s">
        <v>171</v>
      </c>
      <c r="B512" s="120"/>
      <c r="C512" s="158"/>
      <c r="D512" s="160"/>
      <c r="E512" s="160"/>
      <c r="F512" s="261">
        <f t="shared" si="159"/>
        <v>0</v>
      </c>
      <c r="G512" s="237"/>
      <c r="H512" s="236"/>
      <c r="I512" s="235">
        <f t="shared" si="160"/>
        <v>0</v>
      </c>
      <c r="J512" s="96"/>
      <c r="K512" s="20"/>
      <c r="L512" s="72">
        <f t="shared" si="161"/>
        <v>0</v>
      </c>
      <c r="M512" s="24"/>
      <c r="N512" s="20"/>
      <c r="O512" s="72">
        <f t="shared" si="162"/>
        <v>0</v>
      </c>
      <c r="P512" s="195"/>
      <c r="Q512" s="91">
        <f t="shared" si="146"/>
        <v>0</v>
      </c>
    </row>
    <row r="513" spans="1:17" ht="15" thickBot="1">
      <c r="A513" s="77" t="s">
        <v>172</v>
      </c>
      <c r="B513" s="121"/>
      <c r="C513" s="187"/>
      <c r="D513" s="161">
        <f>1343.17+3508.29+1120+480+72533.23+84329.85+439.83+10828.07+2276.37+669.5+923.92+1262.83+36084.02+12706.44+1625+17295.76+1561.56+765.65+59.98+5253.5+20704.91+2414.1+479.3+62381.2+1014.7+2721.9+42847.1+31227+20746.96+3156+2843.97+31.86+150.82+308.12+3298.9+162.35+111.81+33271.89+1192.04+705.93+9955.72+1.75+2.37+15172.43+7.91+13.17+14079.26+0.72+2113.87+3832.84+18.63+1732.88+1970.55+14388.11+37011.97+46.86+1008.14+1568.95+346.55+5007.82+72.46+219807.6+200+3737.2+9500+46.77+3305.35+346.06+2957.41+45.34+1+506.9+15945.03+48500+2106.09+291.3+694.23+1375.02+176.3+5.86+578</f>
        <v>903316.2499999999</v>
      </c>
      <c r="E513" s="161">
        <f>500+2000</f>
        <v>2500</v>
      </c>
      <c r="F513" s="262">
        <f t="shared" si="159"/>
        <v>905816.2499999999</v>
      </c>
      <c r="G513" s="238">
        <f>2498.5+700+1298.2-4000+25073.8+13.1+1000</f>
        <v>26583.6</v>
      </c>
      <c r="H513" s="239"/>
      <c r="I513" s="240">
        <f t="shared" si="160"/>
        <v>932399.8499999999</v>
      </c>
      <c r="J513" s="96"/>
      <c r="K513" s="20"/>
      <c r="L513" s="72">
        <f t="shared" si="161"/>
        <v>932399.8499999999</v>
      </c>
      <c r="M513" s="24"/>
      <c r="N513" s="20"/>
      <c r="O513" s="72">
        <f t="shared" si="162"/>
        <v>932399.8499999999</v>
      </c>
      <c r="P513" s="195"/>
      <c r="Q513" s="91">
        <f t="shared" si="146"/>
        <v>932399.8499999999</v>
      </c>
    </row>
    <row r="514" spans="1:17" ht="16.5" hidden="1" thickBot="1">
      <c r="A514" s="77" t="s">
        <v>212</v>
      </c>
      <c r="B514" s="121"/>
      <c r="C514" s="132"/>
      <c r="D514" s="161"/>
      <c r="E514" s="161"/>
      <c r="F514" s="262">
        <f t="shared" si="159"/>
        <v>0</v>
      </c>
      <c r="G514" s="238"/>
      <c r="H514" s="239"/>
      <c r="I514" s="240">
        <f t="shared" si="160"/>
        <v>0</v>
      </c>
      <c r="J514" s="284">
        <v>0</v>
      </c>
      <c r="K514" s="21">
        <v>0</v>
      </c>
      <c r="L514" s="74">
        <f t="shared" si="161"/>
        <v>0</v>
      </c>
      <c r="M514" s="76"/>
      <c r="N514" s="21"/>
      <c r="O514" s="74">
        <f t="shared" si="162"/>
        <v>0</v>
      </c>
      <c r="P514" s="202"/>
      <c r="Q514" s="92">
        <f t="shared" si="146"/>
        <v>0</v>
      </c>
    </row>
    <row r="515" spans="2:17" ht="12.75" hidden="1">
      <c r="B515" s="122"/>
      <c r="C515" s="162">
        <f aca="true" t="shared" si="163" ref="C515:Q515">C94+C507-C503</f>
        <v>0</v>
      </c>
      <c r="D515" s="162">
        <f t="shared" si="163"/>
        <v>0</v>
      </c>
      <c r="E515" s="162">
        <f t="shared" si="163"/>
        <v>0</v>
      </c>
      <c r="F515" s="162">
        <f t="shared" si="163"/>
        <v>0</v>
      </c>
      <c r="G515" s="241">
        <f t="shared" si="163"/>
        <v>0</v>
      </c>
      <c r="H515" s="241">
        <f t="shared" si="163"/>
        <v>0</v>
      </c>
      <c r="I515" s="241">
        <f t="shared" si="163"/>
        <v>0</v>
      </c>
      <c r="J515" s="75">
        <f t="shared" si="163"/>
        <v>0</v>
      </c>
      <c r="K515" s="75">
        <f t="shared" si="163"/>
        <v>0</v>
      </c>
      <c r="L515" s="75">
        <f t="shared" si="163"/>
        <v>1236428.9699999988</v>
      </c>
      <c r="M515" s="75">
        <f t="shared" si="163"/>
        <v>0</v>
      </c>
      <c r="N515" s="75">
        <f t="shared" si="163"/>
        <v>60.6</v>
      </c>
      <c r="O515" s="75">
        <f t="shared" si="163"/>
        <v>1236489.5699999984</v>
      </c>
      <c r="P515" s="203">
        <f t="shared" si="163"/>
        <v>0</v>
      </c>
      <c r="Q515" s="75">
        <f t="shared" si="163"/>
        <v>1236489.5699999984</v>
      </c>
    </row>
    <row r="516" spans="2:16" ht="12.75">
      <c r="B516" s="122"/>
      <c r="G516" s="241"/>
      <c r="H516" s="241"/>
      <c r="I516" s="241"/>
      <c r="P516" s="203"/>
    </row>
    <row r="517" spans="2:16" ht="12.75">
      <c r="B517" s="122"/>
      <c r="P517" s="203"/>
    </row>
    <row r="518" spans="2:16" ht="12.75">
      <c r="B518" s="122"/>
      <c r="P518" s="203"/>
    </row>
    <row r="519" spans="2:16" ht="12.75">
      <c r="B519" s="122"/>
      <c r="P519" s="203"/>
    </row>
    <row r="520" spans="2:16" ht="12.75">
      <c r="B520" s="122"/>
      <c r="P520" s="203"/>
    </row>
    <row r="521" spans="2:16" ht="12.75">
      <c r="B521" s="122"/>
      <c r="P521" s="203"/>
    </row>
    <row r="522" spans="2:16" ht="12.75">
      <c r="B522" s="122"/>
      <c r="P522" s="203"/>
    </row>
    <row r="523" spans="2:16" ht="12.75">
      <c r="B523" s="122"/>
      <c r="P523" s="203"/>
    </row>
    <row r="524" spans="2:16" ht="12.75">
      <c r="B524" s="122"/>
      <c r="P524" s="203"/>
    </row>
    <row r="525" spans="2:16" ht="12.75">
      <c r="B525" s="122"/>
      <c r="P525" s="203"/>
    </row>
    <row r="526" spans="2:16" ht="12.75">
      <c r="B526" s="122"/>
      <c r="P526" s="203"/>
    </row>
    <row r="527" spans="2:16" ht="12.75">
      <c r="B527" s="122"/>
      <c r="P527" s="203"/>
    </row>
    <row r="528" spans="2:16" ht="12.75">
      <c r="B528" s="122"/>
      <c r="P528" s="203"/>
    </row>
    <row r="529" spans="2:16" ht="12.75">
      <c r="B529" s="122"/>
      <c r="P529" s="203"/>
    </row>
    <row r="530" spans="2:16" ht="12.75">
      <c r="B530" s="122"/>
      <c r="P530" s="203"/>
    </row>
    <row r="531" spans="2:16" ht="12.75">
      <c r="B531" s="122"/>
      <c r="P531" s="203"/>
    </row>
    <row r="532" spans="2:16" ht="12.75">
      <c r="B532" s="122"/>
      <c r="P532" s="203"/>
    </row>
    <row r="533" spans="2:16" ht="12.75">
      <c r="B533" s="122"/>
      <c r="P533" s="203"/>
    </row>
    <row r="534" spans="2:16" ht="12.75">
      <c r="B534" s="122"/>
      <c r="P534" s="203"/>
    </row>
    <row r="535" ht="12.75">
      <c r="P535" s="203"/>
    </row>
    <row r="536" ht="12.75">
      <c r="P536" s="203"/>
    </row>
    <row r="537" ht="12.75">
      <c r="P537" s="203"/>
    </row>
    <row r="538" ht="12.75">
      <c r="P538" s="203"/>
    </row>
    <row r="539" ht="12.75">
      <c r="P539" s="203"/>
    </row>
    <row r="540" ht="12.75">
      <c r="P540" s="203"/>
    </row>
    <row r="541" ht="12.75">
      <c r="P541" s="203"/>
    </row>
    <row r="542" ht="12.75">
      <c r="P542" s="203"/>
    </row>
    <row r="543" ht="12.75">
      <c r="P543" s="203"/>
    </row>
    <row r="544" ht="12.75">
      <c r="P544" s="203"/>
    </row>
    <row r="545" ht="12.75">
      <c r="P545" s="203"/>
    </row>
    <row r="546" ht="12.75">
      <c r="P546" s="203"/>
    </row>
    <row r="547" ht="12.75">
      <c r="P547" s="203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.3937007874015748" right="0.1968503937007874" top="0.7086614173228347" bottom="0.3937007874015748" header="0.5118110236220472" footer="0.11811023622047245"/>
  <pageSetup horizontalDpi="600" verticalDpi="600" orientation="portrait" paperSize="9" scale="87" r:id="rId1"/>
  <headerFooter alignWithMargins="0">
    <oddFooter>&amp;CStránka &amp;P</oddFooter>
  </headerFooter>
  <rowBreaks count="5" manualBreakCount="5">
    <brk id="101" max="8" man="1"/>
    <brk id="194" max="8" man="1"/>
    <brk id="289" max="8" man="1"/>
    <brk id="365" max="8" man="1"/>
    <brk id="4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841</cp:lastModifiedBy>
  <cp:lastPrinted>2014-05-23T07:40:42Z</cp:lastPrinted>
  <dcterms:created xsi:type="dcterms:W3CDTF">2009-01-05T12:05:07Z</dcterms:created>
  <dcterms:modified xsi:type="dcterms:W3CDTF">2014-05-23T07:40:57Z</dcterms:modified>
  <cp:category/>
  <cp:version/>
  <cp:contentType/>
  <cp:contentStatus/>
</cp:coreProperties>
</file>