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65521" windowWidth="9600" windowHeight="11640" activeTab="0"/>
  </bookViews>
  <sheets>
    <sheet name="rozpočet 2003" sheetId="1" r:id="rId1"/>
    <sheet name="rozpočet 2004" sheetId="2" r:id="rId2"/>
    <sheet name="rozpočet 2005" sheetId="3" r:id="rId3"/>
    <sheet name="zaměstnanci" sheetId="4" r:id="rId4"/>
    <sheet name="výhled potřeby přímých NIV" sheetId="5" r:id="rId5"/>
    <sheet name="kalk dopadu při zachování norm" sheetId="6" r:id="rId6"/>
    <sheet name="výdaje z rozp kraje" sheetId="7" r:id="rId7"/>
  </sheets>
  <definedNames/>
  <calcPr fullCalcOnLoad="1"/>
</workbook>
</file>

<file path=xl/sharedStrings.xml><?xml version="1.0" encoding="utf-8"?>
<sst xmlns="http://schemas.openxmlformats.org/spreadsheetml/2006/main" count="376" uniqueCount="160">
  <si>
    <t>z toho:</t>
  </si>
  <si>
    <t>MP + odvody</t>
  </si>
  <si>
    <t>přímé NIV celkem</t>
  </si>
  <si>
    <t>ONIV přímé</t>
  </si>
  <si>
    <t>rozvojový program</t>
  </si>
  <si>
    <t>CELKEM</t>
  </si>
  <si>
    <t>celkové náklady (v tis. Kč)</t>
  </si>
  <si>
    <t>poskytnutá dotace (v tis. Kč)</t>
  </si>
  <si>
    <t>žáci ve věkové skupině</t>
  </si>
  <si>
    <t>věková skupina 3-5 let</t>
  </si>
  <si>
    <t>věková skupina 6-14 let</t>
  </si>
  <si>
    <t>věková skupina 15-18 let</t>
  </si>
  <si>
    <t>věková skupina 19-21 let</t>
  </si>
  <si>
    <t>Provozní výdaje na školy a jim příslušející školská zařízení zřizované krajem v roce 2004</t>
  </si>
  <si>
    <t>Investiční výdaje na školy a jim příslušející školská zařízení zřizované krajem v roce 2004</t>
  </si>
  <si>
    <t>Provozní výdaje na školy a jim příslušející školská zařízení zřizované krajem v roce 2003</t>
  </si>
  <si>
    <t>Investiční výdaje na školy a jim příslušející školská zařízení zřizované krajem v roce 2003</t>
  </si>
  <si>
    <t>další školy a školská zařízení</t>
  </si>
  <si>
    <t xml:space="preserve">Orientační návrh provozních výdajů na školy a jim příslušející školská zařízení zřizované krajem  </t>
  </si>
  <si>
    <t xml:space="preserve">Orientační návrh investičních výdajů na školy a jim příslušející školská zařízení zřizované krajem </t>
  </si>
  <si>
    <t>ONIV přímé celkem</t>
  </si>
  <si>
    <t>MP+odvody celkem</t>
  </si>
  <si>
    <t>NIV celkem</t>
  </si>
  <si>
    <t>limit zaměstnanců</t>
  </si>
  <si>
    <t>rok</t>
  </si>
  <si>
    <t>rep. norm.05</t>
  </si>
  <si>
    <t>normativní limit zaměstnanců</t>
  </si>
  <si>
    <t>bez dopadu zák. 109/2002 a rozšíření výuky ZŠ o 2 hod. týdně, dalších platů</t>
  </si>
  <si>
    <t>výkony pro norm. příděl kraj.+obecní</t>
  </si>
  <si>
    <t>meziroční pohyb počtu zaměstnanců</t>
  </si>
  <si>
    <t>základní školy+internáty při ZŠ</t>
  </si>
  <si>
    <t>gymnázia+ŠJ při Gy</t>
  </si>
  <si>
    <t>Celkem</t>
  </si>
  <si>
    <t>školy a jim příslušející školská zařízení zřiz. krajem</t>
  </si>
  <si>
    <t>Provozní výdaje na školy a jim příslušející školská zařízení zřizované krajem v roce 2005</t>
  </si>
  <si>
    <t>Investiční výdaje na školy a jim příslušející školská zařízení zřizované krajem v roce 2005</t>
  </si>
  <si>
    <t>ostatní odvody PO</t>
  </si>
  <si>
    <t>schválený rozp. -příspěvky PO</t>
  </si>
  <si>
    <t>výsledný rozpočet - příspěvky PO</t>
  </si>
  <si>
    <t>přísp. kryté z rozp.ost.odvětví</t>
  </si>
  <si>
    <t>přísp. kryté z rozp.ost.odv. a gr.</t>
  </si>
  <si>
    <t>přísp. kryté z Fondu reprodukce KHK</t>
  </si>
  <si>
    <t>příspěvky PO - 10.úprava rozp. kraje</t>
  </si>
  <si>
    <t>příspěvky PO - 8.úprava rozp. kraje</t>
  </si>
  <si>
    <t>výše investiční dotace PO (v tis. Kč) 
(8. úprava rozpočtu kraje)</t>
  </si>
  <si>
    <t>výše investiční dotace PO (v tis. Kč) 
(10. úprava rozpočtu kraje)</t>
  </si>
  <si>
    <t>výše investiční dotace PO (v tis. Kč) 
(6. úprava rozpočtu kraje)</t>
  </si>
  <si>
    <t>SOŠ, SOU, VOŠ + DM+ŠJ</t>
  </si>
  <si>
    <t>odvody z investičních fondů PO</t>
  </si>
  <si>
    <t>ostatní nedaňové příjmy</t>
  </si>
  <si>
    <t>Ostatní běžné výdaje - mládež a tělovýchova</t>
  </si>
  <si>
    <t>Ostatní běžné výdaje školství</t>
  </si>
  <si>
    <t>ROZPOČET ŠKOLSTVÍ CELKEM</t>
  </si>
  <si>
    <t>podpora romských žáků střed. škol</t>
  </si>
  <si>
    <t>program HODINA - 7. roč. ZŠ</t>
  </si>
  <si>
    <t>program PILOT 1</t>
  </si>
  <si>
    <t>DVPP ZŠ s pouze 1. stupněm</t>
  </si>
  <si>
    <t xml:space="preserve">DVPP zajišť. zařízením kraje </t>
  </si>
  <si>
    <t>podpora z OP Rozvoj lidkých zdrojů</t>
  </si>
  <si>
    <t>státní informační politika ve vzdělávání</t>
  </si>
  <si>
    <t>výuka dětí žadatelů o azyl a cizinců</t>
  </si>
  <si>
    <t>péče o nadané žáky</t>
  </si>
  <si>
    <t>úhrada nájemného krajem z OBV</t>
  </si>
  <si>
    <t>Celkem příspěvky na provoz PO</t>
  </si>
  <si>
    <t>- z toho: na péči o nemovitý majatek</t>
  </si>
  <si>
    <t xml:space="preserve">               na obnovu technologií ve
              výuce (stroje, zařízení)</t>
  </si>
  <si>
    <t>školy a školská zařízení zřizované krajem / rok</t>
  </si>
  <si>
    <t xml:space="preserve"> - z toho: na obnovu inventáře</t>
  </si>
  <si>
    <t xml:space="preserve">                na obnovu výpoč. techniky</t>
  </si>
  <si>
    <t>Návrh rozvojových programů pro financování z ESF v letech 2006 - 2010 *</t>
  </si>
  <si>
    <t>v letech 2006-2010 - v úrovni schváleného rozpočtu</t>
  </si>
  <si>
    <t>v tis. Kč</t>
  </si>
  <si>
    <t>v letech 2006-2010  - v úrovni schváleného rozpočtu</t>
  </si>
  <si>
    <t>Poznámka:</t>
  </si>
  <si>
    <t>předškolní výchova</t>
  </si>
  <si>
    <t>Stát. účelová dotace</t>
  </si>
  <si>
    <t>Přímé výdaje v roce 2005 - normativní rozpis pro rok 2005</t>
  </si>
  <si>
    <t>(v tis. Kč)</t>
  </si>
  <si>
    <t>Přímé výdaje v roce 2005 - po provedení úprav, včetně rozvoj. programů s UZ přímých NIV</t>
  </si>
  <si>
    <t>Přímé výdaje v roce 2004 - finanční objemy po provedení úprav v průběhu roku</t>
  </si>
  <si>
    <t>Přímé výdaje v roce 2004 - čistě normativní rozpis pro rok 2004</t>
  </si>
  <si>
    <t>Přímé výdaje v roce 2003 - výsledný rozpočet po provedení úprav</t>
  </si>
  <si>
    <t>ostatní kapitálové výdaje kraje</t>
  </si>
  <si>
    <t>Celkem uvedené investiční tituly</t>
  </si>
  <si>
    <t>Celkem z rozpočtu kraje</t>
  </si>
  <si>
    <t>Účast na rozvojových programech MŠMT v roce 2003 a jejich financování, přidělené účelové prostředky</t>
  </si>
  <si>
    <t>progr.sociál. prevence a krim.</t>
  </si>
  <si>
    <t>projekty romské komunity</t>
  </si>
  <si>
    <t>progr. protidrog. politiky</t>
  </si>
  <si>
    <t>soutěže</t>
  </si>
  <si>
    <t>podpora odbor. vzdělávání</t>
  </si>
  <si>
    <t>SIPVZ - neinvestice</t>
  </si>
  <si>
    <t>volnočasové aktivity - neinv.</t>
  </si>
  <si>
    <t>progr. proti šikanování na škol.</t>
  </si>
  <si>
    <t>nákup kompenz. pomůcek</t>
  </si>
  <si>
    <t>Evropská jazyková cena</t>
  </si>
  <si>
    <t>Účast na rozvojových programech MŠMT v roce 2004 a jejich financování, přidělené účelové prostředky</t>
  </si>
  <si>
    <t>Plnění limitu počtu zaměstnanců v r. 2002 - 2005</t>
  </si>
  <si>
    <t>rok 2002</t>
  </si>
  <si>
    <t>přidělený celoroční limit</t>
  </si>
  <si>
    <t>prům.přep. počet zaměst.  
(P1-04)</t>
  </si>
  <si>
    <t>nedočer-páno z limitu</t>
  </si>
  <si>
    <t>subjekty zřizované krajem</t>
  </si>
  <si>
    <t>rok 2003</t>
  </si>
  <si>
    <t>subjekty zřizované obcemi</t>
  </si>
  <si>
    <t>rok 2004</t>
  </si>
  <si>
    <t>rok 2005</t>
  </si>
  <si>
    <t>rozvojový program, 
dotační titul</t>
  </si>
  <si>
    <t>poskytnutá dotace 
(v tis. Kč)</t>
  </si>
  <si>
    <t xml:space="preserve">Orientační propočet potřeby přímých výdajů v letech 2006-2010 podle věkových skupin (v tis. Kč) </t>
  </si>
  <si>
    <t>valorizace mezd ZŠ</t>
  </si>
  <si>
    <t>valorizace mezd VOŠ</t>
  </si>
  <si>
    <t>valorizace mezd středních škol</t>
  </si>
  <si>
    <t>Kalkulace byla provedena za následujících předpokladů:</t>
  </si>
  <si>
    <t xml:space="preserve"> - u MŠ je proveden propočet mezd úměrně předpokládanému počtu dětí</t>
  </si>
  <si>
    <t xml:space="preserve"> - u základních, středních škol a VOŠ považujeme za nezbytné zajistit rozpočet pro dosavadní počet zaměstnanců i v následujících letech (+valorizovat platy)</t>
  </si>
  <si>
    <t xml:space="preserve">   důvod: pokles počtu žáků bude z převážné části představován poklesem naplněnosti tříd, zavádění rámcových vzdělávacích programů</t>
  </si>
  <si>
    <t>Finanční zajištění roku 2005</t>
  </si>
  <si>
    <t>Finanční zajištění roku 2004</t>
  </si>
  <si>
    <t>Finanční zajištění roku 2003</t>
  </si>
  <si>
    <t>Orientační potřeba výdajů z rozpočtu kraje v letech 2006-2010</t>
  </si>
  <si>
    <t>Varianta vyčislující potřebu přímých výdajů na vzdělávání při zachování současného počtu zaměstnanců, bez ohledu na možné normativní příděly</t>
  </si>
  <si>
    <t xml:space="preserve">Mezní podoba normativního propočtu přímých výdajů a počtu zaměstnanců v letech 2006-2010 podle věkových skupin (v tis. Kč) </t>
  </si>
  <si>
    <r>
      <t>normativní</t>
    </r>
    <r>
      <rPr>
        <b/>
        <sz val="10"/>
        <rFont val="Times New Roman"/>
        <family val="1"/>
      </rPr>
      <t xml:space="preserve"> limit zaměstnanců</t>
    </r>
  </si>
  <si>
    <t>limit zaměstnanců (republ. norm.)</t>
  </si>
  <si>
    <t>Prostředky kraje na grantové a dílčí programy v roce 2005</t>
  </si>
  <si>
    <t>Prostředky kraje na grantové a dílčí programy v roce 2004</t>
  </si>
  <si>
    <t>Prostředky kraje na grantové a dílčí programy v roce 2003</t>
  </si>
  <si>
    <t>Gy, SOŠ, SOU, VOŠ + DM+ŠJ</t>
  </si>
  <si>
    <t>Účast na rozvojových programech MŠMT v roce 2005 a jejich financování,  přidělené účelové prostředky</t>
  </si>
  <si>
    <t>Gy, SOŠ, SOU, VOS + DM+ŠJ</t>
  </si>
  <si>
    <t>Vlastní grantové a dílčí programy kraje a jejich financování v letech 2006-2010</t>
  </si>
  <si>
    <t>Zdroje krytí finanční spoluúčasti školských subjektů</t>
  </si>
  <si>
    <t>spolufinancování programů z fondů EU</t>
  </si>
  <si>
    <t>dokrytí spoluúčasti v projektech MŠMT</t>
  </si>
  <si>
    <t>grantové a dílčí programy odvětví</t>
  </si>
  <si>
    <t>Provozní a investiční výdaje jsou uváděny s každoroční valorizací o 3% oproti předchozímu roku (základ - r. 2006)</t>
  </si>
  <si>
    <t>okruhy</t>
  </si>
  <si>
    <t>práce s dětmi a mládeží</t>
  </si>
  <si>
    <t>tělovýchova a sport</t>
  </si>
  <si>
    <t>oblast školství</t>
  </si>
  <si>
    <t>účelovost prostředků</t>
  </si>
  <si>
    <t>dětí věkové skupiny celkem</t>
  </si>
  <si>
    <t>žáků věkové skupiny celkem</t>
  </si>
  <si>
    <t>studentů věkové skupiny celkem</t>
  </si>
  <si>
    <t>studentů celkem</t>
  </si>
  <si>
    <t>studentů věk. skupiny celkem</t>
  </si>
  <si>
    <t>rep. norm.06</t>
  </si>
  <si>
    <t>3 - 18 let v KZÚV</t>
  </si>
  <si>
    <t>výkony pro norm. příděl</t>
  </si>
  <si>
    <t>valorizace mezd DD</t>
  </si>
  <si>
    <t>Varianta zprocována za předpokladu dodržení současné metodiky a zachování  republikových normativů na úrovni r. 2006</t>
  </si>
  <si>
    <t>Kalkulace dopadu na rozpočet kraje při zachování metodiky a výše republikových normativů v r. 2006</t>
  </si>
  <si>
    <t>valorizace ONIV oproti r. 2006</t>
  </si>
  <si>
    <t>valorizace mezd MŠ (oproti r. 2006)</t>
  </si>
  <si>
    <t>Mzdové prostředky jsou uváděny v  úrovni odměňování r. 2006 (bez valorizace)</t>
  </si>
  <si>
    <t>Přímé ONIV jsou uváděny ve stálých cenách roku 2006.</t>
  </si>
  <si>
    <t xml:space="preserve"> - mzdové prostředky pro r. 2007 a další jsou každoročně valorizovány o 5%</t>
  </si>
  <si>
    <t>Přímé ONIV jsou od r. 2008  každoročně valorizovány o 3%, objemy propočteny částkou na žáka, pro rok 2007 promítnuto navýšení ONIV o 20%</t>
  </si>
  <si>
    <t>Počty dětí v jednotlivých věkových skupinách jsou převzaty z demografické projekce MŠMT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</si>
</sst>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"/>
    <numFmt numFmtId="169" formatCode="0.0"/>
    <numFmt numFmtId="170" formatCode="0.000"/>
    <numFmt numFmtId="171" formatCode="#,##0\ _K_č"/>
    <numFmt numFmtId="172" formatCode="#,##0.0\ _K_č"/>
    <numFmt numFmtId="173" formatCode="#,##0.00\ _K_č"/>
    <numFmt numFmtId="174" formatCode="#,##0.000\ _K_č"/>
    <numFmt numFmtId="175" formatCode="_-* #,##0.0\ _K_č_-;\-* #,##0.0\ _K_č_-;_-* &quot;-&quot;??\ _K_č_-;_-@_-"/>
    <numFmt numFmtId="176" formatCode="#,##0.0000"/>
    <numFmt numFmtId="177" formatCode="#,##0.00000"/>
    <numFmt numFmtId="178" formatCode="0.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2"/>
      <name val="Times New Roman"/>
      <family val="1"/>
    </font>
    <font>
      <sz val="4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u val="single"/>
      <sz val="10"/>
      <name val="Times New Roman"/>
      <family val="1"/>
    </font>
    <font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9" fontId="4" fillId="2" borderId="2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49" fontId="3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4" fontId="0" fillId="0" borderId="6" xfId="0" applyNumberFormat="1" applyFont="1" applyBorder="1" applyAlignment="1">
      <alignment/>
    </xf>
    <xf numFmtId="164" fontId="3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49" fontId="4" fillId="2" borderId="2" xfId="0" applyNumberFormat="1" applyFont="1" applyFill="1" applyBorder="1" applyAlignment="1">
      <alignment horizontal="left"/>
    </xf>
    <xf numFmtId="49" fontId="7" fillId="2" borderId="3" xfId="0" applyNumberFormat="1" applyFont="1" applyFill="1" applyBorder="1" applyAlignment="1">
      <alignment/>
    </xf>
    <xf numFmtId="1" fontId="3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/>
    </xf>
    <xf numFmtId="0" fontId="3" fillId="0" borderId="3" xfId="0" applyFont="1" applyBorder="1" applyAlignment="1">
      <alignment/>
    </xf>
    <xf numFmtId="49" fontId="7" fillId="2" borderId="3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16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169" fontId="3" fillId="0" borderId="1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9" fontId="3" fillId="0" borderId="0" xfId="0" applyNumberFormat="1" applyFont="1" applyAlignment="1">
      <alignment horizontal="right"/>
    </xf>
    <xf numFmtId="169" fontId="4" fillId="0" borderId="1" xfId="0" applyNumberFormat="1" applyFont="1" applyBorder="1" applyAlignment="1">
      <alignment horizontal="center" wrapText="1"/>
    </xf>
    <xf numFmtId="169" fontId="3" fillId="0" borderId="5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4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4" fillId="0" borderId="4" xfId="0" applyFont="1" applyBorder="1" applyAlignment="1">
      <alignment/>
    </xf>
    <xf numFmtId="0" fontId="4" fillId="0" borderId="4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" xfId="0" applyFont="1" applyBorder="1" applyAlignment="1">
      <alignment/>
    </xf>
    <xf numFmtId="0" fontId="3" fillId="0" borderId="0" xfId="0" applyFont="1" applyBorder="1" applyAlignment="1">
      <alignment horizontal="right"/>
    </xf>
    <xf numFmtId="169" fontId="0" fillId="0" borderId="1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 wrapText="1"/>
    </xf>
    <xf numFmtId="0" fontId="3" fillId="3" borderId="1" xfId="0" applyFont="1" applyFill="1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9" fontId="0" fillId="0" borderId="1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4" borderId="11" xfId="0" applyNumberFormat="1" applyFont="1" applyFill="1" applyBorder="1" applyAlignment="1">
      <alignment/>
    </xf>
    <xf numFmtId="0" fontId="4" fillId="4" borderId="11" xfId="0" applyFont="1" applyFill="1" applyBorder="1" applyAlignment="1">
      <alignment/>
    </xf>
    <xf numFmtId="169" fontId="4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77" fontId="3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169" fontId="3" fillId="0" borderId="1" xfId="0" applyNumberFormat="1" applyFont="1" applyFill="1" applyBorder="1" applyAlignment="1">
      <alignment/>
    </xf>
    <xf numFmtId="168" fontId="14" fillId="5" borderId="1" xfId="0" applyNumberFormat="1" applyFont="1" applyFill="1" applyBorder="1" applyAlignment="1">
      <alignment horizontal="right"/>
    </xf>
    <xf numFmtId="168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68" fontId="14" fillId="0" borderId="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="80" zoomScaleNormal="80" workbookViewId="0" topLeftCell="A9">
      <selection activeCell="A43" sqref="A43:C43"/>
      <selection activeCell="B34" sqref="B34:C34"/>
    </sheetView>
  </sheetViews>
  <sheetFormatPr defaultColWidth="9.140625" defaultRowHeight="12.75"/>
  <cols>
    <col min="1" max="1" width="32.8515625" style="0" customWidth="1"/>
    <col min="2" max="2" width="18.28125" style="0" customWidth="1"/>
    <col min="3" max="3" width="18.8515625" style="0" customWidth="1"/>
    <col min="4" max="4" width="16.7109375" style="0" customWidth="1"/>
  </cols>
  <sheetData>
    <row r="1" spans="1:4" ht="15.75">
      <c r="A1" s="127" t="s">
        <v>119</v>
      </c>
      <c r="B1" s="1"/>
      <c r="C1" s="3"/>
      <c r="D1" s="24"/>
    </row>
    <row r="2" spans="1:4" ht="15.75">
      <c r="A2" s="127"/>
      <c r="B2" s="1"/>
      <c r="C2" s="3"/>
      <c r="D2" s="24"/>
    </row>
    <row r="3" spans="1:4" ht="12.75">
      <c r="A3" s="4" t="s">
        <v>81</v>
      </c>
      <c r="B3" s="1"/>
      <c r="C3" s="1"/>
      <c r="D3" s="1"/>
    </row>
    <row r="4" spans="1:4" ht="12.75">
      <c r="A4" s="1"/>
      <c r="B4" s="1"/>
      <c r="C4" s="1"/>
      <c r="D4" s="24" t="s">
        <v>77</v>
      </c>
    </row>
    <row r="5" spans="1:4" ht="12.75">
      <c r="A5" s="137" t="s">
        <v>8</v>
      </c>
      <c r="B5" s="139" t="s">
        <v>2</v>
      </c>
      <c r="C5" s="141" t="s">
        <v>0</v>
      </c>
      <c r="D5" s="142"/>
    </row>
    <row r="6" spans="1:4" ht="21" customHeight="1">
      <c r="A6" s="138"/>
      <c r="B6" s="140"/>
      <c r="C6" s="32" t="s">
        <v>1</v>
      </c>
      <c r="D6" s="25" t="s">
        <v>3</v>
      </c>
    </row>
    <row r="7" spans="1:4" ht="13.5" customHeight="1">
      <c r="A7" s="22" t="s">
        <v>9</v>
      </c>
      <c r="B7" s="42">
        <v>496257</v>
      </c>
      <c r="C7" s="56">
        <f>B7-D7</f>
        <v>489140.1</v>
      </c>
      <c r="D7" s="56">
        <v>7116.9</v>
      </c>
    </row>
    <row r="8" spans="1:4" ht="14.25" customHeight="1">
      <c r="A8" s="22" t="s">
        <v>10</v>
      </c>
      <c r="B8" s="41">
        <v>1822509</v>
      </c>
      <c r="C8" s="56">
        <f>B8-D8</f>
        <v>1777421.5</v>
      </c>
      <c r="D8" s="56">
        <v>45087.5</v>
      </c>
    </row>
    <row r="9" spans="1:4" ht="12.75" customHeight="1">
      <c r="A9" s="22" t="s">
        <v>11</v>
      </c>
      <c r="B9" s="41">
        <v>1094556</v>
      </c>
      <c r="C9" s="56">
        <f>B9-D9</f>
        <v>1050791.4</v>
      </c>
      <c r="D9" s="56">
        <v>43764.6</v>
      </c>
    </row>
    <row r="10" spans="1:4" ht="11.25" customHeight="1">
      <c r="A10" s="22" t="s">
        <v>12</v>
      </c>
      <c r="B10" s="41">
        <v>36879</v>
      </c>
      <c r="C10" s="56">
        <f>B10-D10</f>
        <v>36443.1</v>
      </c>
      <c r="D10" s="56">
        <v>435.9</v>
      </c>
    </row>
    <row r="11" spans="1:4" ht="12.75">
      <c r="A11" s="23" t="s">
        <v>5</v>
      </c>
      <c r="B11" s="41">
        <f>SUM(B7:B10)</f>
        <v>3450201</v>
      </c>
      <c r="C11" s="41">
        <f>SUM(C7:C10)</f>
        <v>3353796.1</v>
      </c>
      <c r="D11" s="57">
        <f>SUM(D7:D10)</f>
        <v>96404.9</v>
      </c>
    </row>
    <row r="12" spans="1:4" ht="12.75">
      <c r="A12" s="33"/>
      <c r="B12" s="43"/>
      <c r="C12" s="28"/>
      <c r="D12" s="28"/>
    </row>
    <row r="13" spans="1:4" ht="12.75">
      <c r="A13" s="27"/>
      <c r="B13" s="28"/>
      <c r="D13" s="24"/>
    </row>
    <row r="14" spans="1:4" ht="12.75">
      <c r="A14" s="34" t="s">
        <v>15</v>
      </c>
      <c r="B14" s="34"/>
      <c r="C14" s="35"/>
      <c r="D14" s="35"/>
    </row>
    <row r="15" spans="1:4" ht="12.75">
      <c r="A15" s="27"/>
      <c r="B15" s="28"/>
      <c r="C15" s="3"/>
      <c r="D15" s="24" t="s">
        <v>77</v>
      </c>
    </row>
    <row r="16" spans="1:4" ht="25.5">
      <c r="A16" s="65" t="s">
        <v>33</v>
      </c>
      <c r="B16" s="69" t="s">
        <v>37</v>
      </c>
      <c r="C16" s="68" t="s">
        <v>42</v>
      </c>
      <c r="D16" s="69" t="s">
        <v>62</v>
      </c>
    </row>
    <row r="17" spans="1:4" ht="13.5" customHeight="1">
      <c r="A17" s="22" t="s">
        <v>74</v>
      </c>
      <c r="B17" s="111">
        <v>2666</v>
      </c>
      <c r="C17" s="66">
        <v>2844.9</v>
      </c>
      <c r="D17" s="64">
        <v>0</v>
      </c>
    </row>
    <row r="18" spans="1:4" ht="15" customHeight="1">
      <c r="A18" s="22" t="s">
        <v>30</v>
      </c>
      <c r="B18" s="111">
        <v>29747</v>
      </c>
      <c r="C18" s="66">
        <v>30439.9</v>
      </c>
      <c r="D18" s="64">
        <v>0</v>
      </c>
    </row>
    <row r="19" spans="1:4" ht="12.75">
      <c r="A19" s="45" t="s">
        <v>128</v>
      </c>
      <c r="B19" s="111">
        <f>188336+33393</f>
        <v>221729</v>
      </c>
      <c r="C19" s="66">
        <f>42145.5+222878.1</f>
        <v>265023.6</v>
      </c>
      <c r="D19" s="64">
        <v>0</v>
      </c>
    </row>
    <row r="20" spans="1:4" ht="12.75">
      <c r="A20" s="46" t="s">
        <v>17</v>
      </c>
      <c r="B20" s="111">
        <v>19422</v>
      </c>
      <c r="C20" s="66">
        <v>26226.1</v>
      </c>
      <c r="D20" s="64">
        <v>0</v>
      </c>
    </row>
    <row r="21" spans="1:3" ht="12.75">
      <c r="A21" s="74" t="s">
        <v>63</v>
      </c>
      <c r="B21" s="25">
        <f>SUM(B17:B20)</f>
        <v>273564</v>
      </c>
      <c r="C21" s="25">
        <f>SUM(C17:C20)</f>
        <v>324534.49999999994</v>
      </c>
    </row>
    <row r="22" spans="1:4" ht="12.75">
      <c r="A22" s="46" t="s">
        <v>51</v>
      </c>
      <c r="B22" s="64">
        <v>24376</v>
      </c>
      <c r="C22" s="110">
        <v>1175.3</v>
      </c>
      <c r="D22" s="64">
        <f>SUM(D17:D20)</f>
        <v>0</v>
      </c>
    </row>
    <row r="23" spans="1:3" ht="25.5">
      <c r="A23" s="46" t="s">
        <v>50</v>
      </c>
      <c r="B23" s="64">
        <v>2060</v>
      </c>
      <c r="C23" s="110">
        <v>696.7</v>
      </c>
    </row>
    <row r="24" spans="1:3" ht="12.75">
      <c r="A24" s="74" t="s">
        <v>5</v>
      </c>
      <c r="B24" s="25">
        <f>B23+B22+B21</f>
        <v>300000</v>
      </c>
      <c r="C24" s="25">
        <f>C23+C22+C21</f>
        <v>326406.49999999994</v>
      </c>
    </row>
    <row r="25" spans="1:4" ht="12.75">
      <c r="A25" s="47"/>
      <c r="B25" s="29"/>
      <c r="C25" s="29"/>
      <c r="D25" s="29"/>
    </row>
    <row r="26" spans="1:4" ht="25.5">
      <c r="A26" s="46" t="s">
        <v>41</v>
      </c>
      <c r="B26" s="64">
        <v>0</v>
      </c>
      <c r="C26" s="64">
        <v>0</v>
      </c>
      <c r="D26" s="29"/>
    </row>
    <row r="27" spans="1:4" ht="12.75">
      <c r="A27" s="46" t="s">
        <v>39</v>
      </c>
      <c r="B27" s="64">
        <v>0</v>
      </c>
      <c r="C27" s="64">
        <v>577.8</v>
      </c>
      <c r="D27" s="29"/>
    </row>
    <row r="28" spans="1:4" ht="12.75">
      <c r="A28" s="46" t="s">
        <v>48</v>
      </c>
      <c r="B28" s="25">
        <v>0</v>
      </c>
      <c r="C28" s="25">
        <v>4800.7</v>
      </c>
      <c r="D28" s="29"/>
    </row>
    <row r="29" spans="1:4" ht="12.75">
      <c r="A29" s="46" t="s">
        <v>36</v>
      </c>
      <c r="B29" s="64">
        <v>0</v>
      </c>
      <c r="C29" s="64">
        <v>13240.6</v>
      </c>
      <c r="D29" s="29"/>
    </row>
    <row r="30" spans="1:4" ht="12.75">
      <c r="A30" s="27"/>
      <c r="B30" s="29"/>
      <c r="C30" s="3"/>
      <c r="D30" s="3"/>
    </row>
    <row r="31" spans="1:4" ht="12.75">
      <c r="A31" s="27"/>
      <c r="B31" s="29"/>
      <c r="D31" s="24"/>
    </row>
    <row r="32" spans="1:4" ht="12.75">
      <c r="A32" s="38" t="s">
        <v>16</v>
      </c>
      <c r="B32" s="38"/>
      <c r="C32" s="29"/>
      <c r="D32" s="29"/>
    </row>
    <row r="33" spans="1:4" ht="12.75">
      <c r="A33" s="1"/>
      <c r="B33" s="1"/>
      <c r="C33" s="1"/>
      <c r="D33" s="24" t="s">
        <v>77</v>
      </c>
    </row>
    <row r="34" spans="1:4" ht="25.5">
      <c r="A34" s="65" t="s">
        <v>33</v>
      </c>
      <c r="B34" s="153" t="s">
        <v>45</v>
      </c>
      <c r="C34" s="154"/>
      <c r="D34" s="30"/>
    </row>
    <row r="35" spans="1:4" ht="14.25" customHeight="1">
      <c r="A35" s="22" t="s">
        <v>74</v>
      </c>
      <c r="B35" s="155">
        <v>0</v>
      </c>
      <c r="C35" s="155"/>
      <c r="D35" s="29"/>
    </row>
    <row r="36" spans="1:4" ht="12" customHeight="1">
      <c r="A36" s="22" t="s">
        <v>30</v>
      </c>
      <c r="B36" s="155">
        <v>0</v>
      </c>
      <c r="C36" s="155"/>
      <c r="D36" s="29"/>
    </row>
    <row r="37" spans="1:4" ht="12.75">
      <c r="A37" s="45" t="s">
        <v>128</v>
      </c>
      <c r="B37" s="155">
        <f>300+11233</f>
        <v>11533</v>
      </c>
      <c r="C37" s="155"/>
      <c r="D37" s="29"/>
    </row>
    <row r="38" spans="1:4" ht="12.75">
      <c r="A38" s="46" t="s">
        <v>17</v>
      </c>
      <c r="B38" s="150">
        <v>950</v>
      </c>
      <c r="C38" s="151"/>
      <c r="D38" s="29"/>
    </row>
    <row r="39" spans="1:4" ht="12.75">
      <c r="A39" s="74" t="s">
        <v>32</v>
      </c>
      <c r="B39" s="152">
        <f>SUM(B35:B38)</f>
        <v>12483</v>
      </c>
      <c r="C39" s="142"/>
      <c r="D39" s="24"/>
    </row>
    <row r="40" spans="1:4" ht="12.75">
      <c r="A40" s="47"/>
      <c r="B40" s="29"/>
      <c r="C40" s="29"/>
      <c r="D40" s="24"/>
    </row>
    <row r="41" spans="1:4" ht="12.75">
      <c r="A41" s="47"/>
      <c r="B41" s="29"/>
      <c r="D41" s="24"/>
    </row>
    <row r="42" spans="1:4" ht="12.75">
      <c r="A42" s="47"/>
      <c r="B42" s="29"/>
      <c r="C42" s="24"/>
      <c r="D42" s="24"/>
    </row>
    <row r="43" spans="1:4" ht="30" customHeight="1">
      <c r="A43" s="156" t="s">
        <v>85</v>
      </c>
      <c r="B43" s="157"/>
      <c r="C43" s="157"/>
      <c r="D43" s="33"/>
    </row>
    <row r="44" spans="1:4" ht="12.75">
      <c r="A44" s="27"/>
      <c r="B44" s="29"/>
      <c r="C44" s="3"/>
      <c r="D44" s="3"/>
    </row>
    <row r="45" spans="1:3" ht="12.75" customHeight="1">
      <c r="A45" s="158" t="s">
        <v>107</v>
      </c>
      <c r="B45" s="158" t="s">
        <v>7</v>
      </c>
      <c r="C45" s="39"/>
    </row>
    <row r="46" spans="1:3" ht="12.75">
      <c r="A46" s="159"/>
      <c r="B46" s="159"/>
      <c r="C46" s="39"/>
    </row>
    <row r="47" spans="1:3" ht="12.75">
      <c r="A47" s="91" t="s">
        <v>86</v>
      </c>
      <c r="B47" s="90">
        <v>387</v>
      </c>
      <c r="C47" s="39"/>
    </row>
    <row r="48" spans="1:3" ht="12.75">
      <c r="A48" s="91" t="s">
        <v>87</v>
      </c>
      <c r="B48" s="90">
        <v>636</v>
      </c>
      <c r="C48" s="39"/>
    </row>
    <row r="49" spans="1:3" ht="12.75">
      <c r="A49" s="91" t="s">
        <v>88</v>
      </c>
      <c r="B49" s="90">
        <v>387</v>
      </c>
      <c r="C49" s="39"/>
    </row>
    <row r="50" spans="1:3" ht="12.75">
      <c r="A50" s="91" t="s">
        <v>89</v>
      </c>
      <c r="B50" s="90">
        <v>1317</v>
      </c>
      <c r="C50" s="39"/>
    </row>
    <row r="51" spans="1:3" ht="12.75">
      <c r="A51" s="91" t="s">
        <v>90</v>
      </c>
      <c r="B51" s="90">
        <v>2628</v>
      </c>
      <c r="C51" s="39"/>
    </row>
    <row r="52" spans="1:3" ht="12.75">
      <c r="A52" s="91" t="s">
        <v>91</v>
      </c>
      <c r="B52" s="90">
        <v>18132.7</v>
      </c>
      <c r="C52" s="39"/>
    </row>
    <row r="53" spans="1:3" ht="12.75">
      <c r="A53" s="91" t="s">
        <v>92</v>
      </c>
      <c r="B53" s="90">
        <v>751</v>
      </c>
      <c r="C53" s="39"/>
    </row>
    <row r="54" spans="1:3" ht="12.75">
      <c r="A54" s="91" t="s">
        <v>93</v>
      </c>
      <c r="B54" s="90">
        <v>115.1</v>
      </c>
      <c r="C54" s="39"/>
    </row>
    <row r="55" spans="1:3" ht="12.75">
      <c r="A55" s="91" t="s">
        <v>94</v>
      </c>
      <c r="B55" s="90">
        <v>1079</v>
      </c>
      <c r="C55" s="39"/>
    </row>
    <row r="56" spans="1:3" ht="12.75">
      <c r="A56" s="91" t="s">
        <v>95</v>
      </c>
      <c r="B56" s="90">
        <v>178</v>
      </c>
      <c r="C56" s="39"/>
    </row>
    <row r="57" spans="1:4" ht="12.75">
      <c r="A57" s="16"/>
      <c r="B57" s="16"/>
      <c r="C57" s="16"/>
      <c r="D57" s="16"/>
    </row>
    <row r="58" spans="1:4" ht="12.75">
      <c r="A58" s="16"/>
      <c r="B58" s="16"/>
      <c r="D58" s="24"/>
    </row>
    <row r="59" spans="1:4" ht="12.75">
      <c r="A59" s="31" t="s">
        <v>127</v>
      </c>
      <c r="B59" s="16"/>
      <c r="C59" s="16"/>
      <c r="D59" s="16"/>
    </row>
    <row r="60" spans="1:4" ht="12.75">
      <c r="A60" s="16"/>
      <c r="B60" s="16"/>
      <c r="C60" s="16"/>
      <c r="D60" s="16"/>
    </row>
    <row r="61" spans="1:4" ht="12.75" customHeight="1">
      <c r="A61" s="143" t="s">
        <v>137</v>
      </c>
      <c r="B61" s="145" t="s">
        <v>6</v>
      </c>
      <c r="C61" s="146"/>
      <c r="D61" s="39"/>
    </row>
    <row r="62" spans="1:4" ht="12.75">
      <c r="A62" s="144"/>
      <c r="B62" s="147"/>
      <c r="C62" s="148"/>
      <c r="D62" s="39"/>
    </row>
    <row r="63" spans="1:4" ht="12.75">
      <c r="A63" s="8" t="s">
        <v>138</v>
      </c>
      <c r="B63" s="135">
        <v>1300</v>
      </c>
      <c r="C63" s="136"/>
      <c r="D63" s="40"/>
    </row>
    <row r="64" spans="1:4" ht="12.75">
      <c r="A64" s="8" t="s">
        <v>139</v>
      </c>
      <c r="B64" s="135">
        <v>2500</v>
      </c>
      <c r="C64" s="136"/>
      <c r="D64" s="40"/>
    </row>
    <row r="65" spans="1:3" ht="12.75">
      <c r="A65" s="8" t="s">
        <v>5</v>
      </c>
      <c r="B65" s="135">
        <f>SUM(B63:B64)</f>
        <v>3800</v>
      </c>
      <c r="C65" s="136"/>
    </row>
    <row r="66" spans="1:3" ht="12.75">
      <c r="A66" s="1"/>
      <c r="B66" s="3"/>
      <c r="C66" s="3"/>
    </row>
    <row r="67" spans="1:3" ht="25.5" customHeight="1">
      <c r="A67" s="149"/>
      <c r="B67" s="149"/>
      <c r="C67" s="149"/>
    </row>
    <row r="69" ht="14.25" customHeight="1"/>
  </sheetData>
  <mergeCells count="18">
    <mergeCell ref="A67:C67"/>
    <mergeCell ref="B38:C38"/>
    <mergeCell ref="B39:C39"/>
    <mergeCell ref="B34:C34"/>
    <mergeCell ref="B35:C35"/>
    <mergeCell ref="B36:C36"/>
    <mergeCell ref="B37:C37"/>
    <mergeCell ref="A43:C43"/>
    <mergeCell ref="A45:A46"/>
    <mergeCell ref="B45:B46"/>
    <mergeCell ref="B65:C65"/>
    <mergeCell ref="A5:A6"/>
    <mergeCell ref="B5:B6"/>
    <mergeCell ref="C5:D5"/>
    <mergeCell ref="A61:A62"/>
    <mergeCell ref="B61:C62"/>
    <mergeCell ref="B63:C63"/>
    <mergeCell ref="B64:C6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&amp;LPříloha č. 4</oddHead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="80" zoomScaleNormal="80" workbookViewId="0" topLeftCell="A15">
      <selection activeCell="B21" sqref="B21"/>
      <selection activeCell="B51" sqref="B51:D51"/>
    </sheetView>
  </sheetViews>
  <sheetFormatPr defaultColWidth="9.140625" defaultRowHeight="12.75"/>
  <cols>
    <col min="1" max="1" width="29.28125" style="3" customWidth="1"/>
    <col min="2" max="2" width="17.8515625" style="3" customWidth="1"/>
    <col min="3" max="4" width="19.28125" style="3" customWidth="1"/>
    <col min="5" max="16384" width="9.140625" style="3" customWidth="1"/>
  </cols>
  <sheetData>
    <row r="1" spans="1:4" ht="15.75">
      <c r="A1" s="127" t="s">
        <v>118</v>
      </c>
      <c r="B1" s="1"/>
      <c r="D1" s="24"/>
    </row>
    <row r="2" spans="1:4" ht="15.75">
      <c r="A2" s="127"/>
      <c r="B2" s="1"/>
      <c r="D2" s="24"/>
    </row>
    <row r="3" spans="1:4" ht="12.75">
      <c r="A3" s="4" t="s">
        <v>80</v>
      </c>
      <c r="B3" s="1"/>
      <c r="C3" s="1"/>
      <c r="D3" s="1"/>
    </row>
    <row r="4" spans="1:4" ht="12.75">
      <c r="A4" s="1" t="s">
        <v>27</v>
      </c>
      <c r="B4" s="1"/>
      <c r="C4" s="1"/>
      <c r="D4" s="24" t="s">
        <v>77</v>
      </c>
    </row>
    <row r="5" spans="1:4" ht="12.75">
      <c r="A5" s="137" t="s">
        <v>8</v>
      </c>
      <c r="B5" s="139" t="s">
        <v>2</v>
      </c>
      <c r="C5" s="141" t="s">
        <v>0</v>
      </c>
      <c r="D5" s="142"/>
    </row>
    <row r="6" spans="1:4" ht="12.75">
      <c r="A6" s="138"/>
      <c r="B6" s="140"/>
      <c r="C6" s="32" t="s">
        <v>1</v>
      </c>
      <c r="D6" s="25" t="s">
        <v>3</v>
      </c>
    </row>
    <row r="7" spans="1:4" ht="12.75">
      <c r="A7" s="22" t="s">
        <v>9</v>
      </c>
      <c r="B7" s="51">
        <v>491219</v>
      </c>
      <c r="C7" s="52">
        <v>484721</v>
      </c>
      <c r="D7" s="52">
        <v>6498</v>
      </c>
    </row>
    <row r="8" spans="1:4" ht="12.75">
      <c r="A8" s="22" t="s">
        <v>10</v>
      </c>
      <c r="B8" s="53">
        <v>1849108</v>
      </c>
      <c r="C8" s="52">
        <v>1807922</v>
      </c>
      <c r="D8" s="52">
        <v>41186</v>
      </c>
    </row>
    <row r="9" spans="1:4" ht="12.75">
      <c r="A9" s="22" t="s">
        <v>11</v>
      </c>
      <c r="B9" s="53">
        <v>1059444</v>
      </c>
      <c r="C9" s="52">
        <v>1024678</v>
      </c>
      <c r="D9" s="52">
        <v>34766</v>
      </c>
    </row>
    <row r="10" spans="1:4" ht="12.75">
      <c r="A10" s="22" t="s">
        <v>12</v>
      </c>
      <c r="B10" s="53">
        <v>39565</v>
      </c>
      <c r="C10" s="52">
        <v>38985</v>
      </c>
      <c r="D10" s="52">
        <v>580</v>
      </c>
    </row>
    <row r="11" spans="1:4" ht="12.75">
      <c r="A11" s="23" t="s">
        <v>5</v>
      </c>
      <c r="B11" s="53">
        <f>SUM(B7:B10)</f>
        <v>3439336</v>
      </c>
      <c r="C11" s="53">
        <f>SUM(C7:C10)</f>
        <v>3356306</v>
      </c>
      <c r="D11" s="52">
        <f>SUM(D7:D10)</f>
        <v>83030</v>
      </c>
    </row>
    <row r="12" spans="1:4" ht="12.75">
      <c r="A12" s="1"/>
      <c r="B12" s="1"/>
      <c r="D12" s="24"/>
    </row>
    <row r="13" spans="1:6" ht="12.75">
      <c r="A13" s="4" t="s">
        <v>79</v>
      </c>
      <c r="B13" s="1"/>
      <c r="C13" s="1"/>
      <c r="D13" s="1"/>
      <c r="E13" s="1"/>
      <c r="F13" s="1"/>
    </row>
    <row r="14" spans="1:6" ht="12.75">
      <c r="A14" s="1"/>
      <c r="B14" s="1"/>
      <c r="C14" s="1"/>
      <c r="D14" s="24" t="s">
        <v>77</v>
      </c>
      <c r="E14" s="1"/>
      <c r="F14" s="1"/>
    </row>
    <row r="15" spans="1:6" ht="14.25" customHeight="1">
      <c r="A15" s="137" t="s">
        <v>8</v>
      </c>
      <c r="B15" s="139" t="s">
        <v>2</v>
      </c>
      <c r="C15" s="141" t="s">
        <v>0</v>
      </c>
      <c r="D15" s="142"/>
      <c r="E15" s="1"/>
      <c r="F15" s="1"/>
    </row>
    <row r="16" spans="1:6" ht="12.75">
      <c r="A16" s="138"/>
      <c r="B16" s="140"/>
      <c r="C16" s="32" t="s">
        <v>1</v>
      </c>
      <c r="D16" s="25" t="s">
        <v>3</v>
      </c>
      <c r="E16" s="1"/>
      <c r="F16" s="1"/>
    </row>
    <row r="17" spans="1:8" ht="12.75">
      <c r="A17" s="22" t="s">
        <v>9</v>
      </c>
      <c r="B17" s="51">
        <v>529712</v>
      </c>
      <c r="C17" s="52">
        <f>B17-D17</f>
        <v>523193</v>
      </c>
      <c r="D17" s="52">
        <v>6519</v>
      </c>
      <c r="E17" s="1"/>
      <c r="F17" s="95"/>
      <c r="G17" s="95"/>
      <c r="H17" s="95"/>
    </row>
    <row r="18" spans="1:8" ht="12.75">
      <c r="A18" s="22" t="s">
        <v>10</v>
      </c>
      <c r="B18" s="53">
        <v>1874753</v>
      </c>
      <c r="C18" s="52">
        <f>B18-D18</f>
        <v>1834590</v>
      </c>
      <c r="D18" s="52">
        <v>40163</v>
      </c>
      <c r="E18" s="1"/>
      <c r="F18" s="95"/>
      <c r="G18" s="95"/>
      <c r="H18" s="95"/>
    </row>
    <row r="19" spans="1:8" ht="12.75">
      <c r="A19" s="22" t="s">
        <v>11</v>
      </c>
      <c r="B19" s="53">
        <v>1095284</v>
      </c>
      <c r="C19" s="52">
        <f>B19-D19</f>
        <v>1059122</v>
      </c>
      <c r="D19" s="52">
        <v>36162</v>
      </c>
      <c r="E19" s="1"/>
      <c r="F19" s="95"/>
      <c r="G19" s="95"/>
      <c r="H19" s="95"/>
    </row>
    <row r="20" spans="1:8" ht="12.75">
      <c r="A20" s="22" t="s">
        <v>12</v>
      </c>
      <c r="B20" s="53">
        <v>41260</v>
      </c>
      <c r="C20" s="52">
        <f>B20-D20</f>
        <v>40375</v>
      </c>
      <c r="D20" s="52">
        <v>885</v>
      </c>
      <c r="E20" s="1"/>
      <c r="F20" s="95"/>
      <c r="G20" s="95"/>
      <c r="H20" s="95"/>
    </row>
    <row r="21" spans="1:6" ht="12.75">
      <c r="A21" s="23" t="s">
        <v>5</v>
      </c>
      <c r="B21" s="53">
        <f>SUM(B17:B20)</f>
        <v>3541009</v>
      </c>
      <c r="C21" s="53">
        <f>SUM(C17:C20)</f>
        <v>3457280</v>
      </c>
      <c r="D21" s="52">
        <f>SUM(D17:D20)</f>
        <v>83729</v>
      </c>
      <c r="E21" s="1"/>
      <c r="F21" s="1"/>
    </row>
    <row r="22" spans="1:6" ht="12.75">
      <c r="A22" s="33"/>
      <c r="B22" s="43"/>
      <c r="C22" s="28"/>
      <c r="D22" s="28"/>
      <c r="E22" s="1"/>
      <c r="F22" s="1"/>
    </row>
    <row r="23" spans="1:4" ht="12.75">
      <c r="A23" s="27"/>
      <c r="B23" s="28"/>
      <c r="D23" s="24"/>
    </row>
    <row r="24" spans="1:6" ht="15.75" customHeight="1">
      <c r="A24" s="34" t="s">
        <v>13</v>
      </c>
      <c r="B24" s="34"/>
      <c r="C24" s="35"/>
      <c r="D24" s="35"/>
      <c r="E24" s="36"/>
      <c r="F24" s="37"/>
    </row>
    <row r="25" spans="1:6" ht="12.75">
      <c r="A25" s="27"/>
      <c r="B25" s="28"/>
      <c r="D25" s="24" t="s">
        <v>77</v>
      </c>
      <c r="E25" s="1"/>
      <c r="F25" s="1"/>
    </row>
    <row r="26" spans="1:6" ht="27.75" customHeight="1">
      <c r="A26" s="65" t="s">
        <v>33</v>
      </c>
      <c r="B26" s="69" t="s">
        <v>37</v>
      </c>
      <c r="C26" s="68" t="s">
        <v>43</v>
      </c>
      <c r="D26" s="69" t="s">
        <v>62</v>
      </c>
      <c r="E26" s="1"/>
      <c r="F26" s="1"/>
    </row>
    <row r="27" spans="1:6" ht="12.75">
      <c r="A27" s="22" t="s">
        <v>74</v>
      </c>
      <c r="B27" s="67">
        <v>2639</v>
      </c>
      <c r="C27" s="67">
        <v>2729.7</v>
      </c>
      <c r="D27" s="64">
        <v>87</v>
      </c>
      <c r="F27" s="1"/>
    </row>
    <row r="28" spans="1:6" ht="12.75">
      <c r="A28" s="22" t="s">
        <v>30</v>
      </c>
      <c r="B28" s="67">
        <v>30139</v>
      </c>
      <c r="C28" s="67">
        <v>36255</v>
      </c>
      <c r="D28" s="64">
        <v>295</v>
      </c>
      <c r="F28" s="1"/>
    </row>
    <row r="29" spans="1:6" ht="12.75">
      <c r="A29" s="45" t="s">
        <v>128</v>
      </c>
      <c r="B29" s="67">
        <f>36409+195867</f>
        <v>232276</v>
      </c>
      <c r="C29" s="67">
        <f>45824.4+236631.6</f>
        <v>282456</v>
      </c>
      <c r="D29" s="64">
        <f>1609+6920</f>
        <v>8529</v>
      </c>
      <c r="F29" s="1"/>
    </row>
    <row r="30" spans="1:6" ht="12.75">
      <c r="A30" s="46" t="s">
        <v>17</v>
      </c>
      <c r="B30" s="67">
        <v>19179</v>
      </c>
      <c r="C30" s="87">
        <v>23376.6</v>
      </c>
      <c r="D30" s="70">
        <v>0</v>
      </c>
      <c r="F30" s="1"/>
    </row>
    <row r="31" spans="1:6" ht="12.75">
      <c r="A31" s="74" t="s">
        <v>63</v>
      </c>
      <c r="B31" s="72">
        <f>SUM(B27:B30)</f>
        <v>284233</v>
      </c>
      <c r="C31" s="72">
        <f>SUM(C27:C30)</f>
        <v>344817.3</v>
      </c>
      <c r="F31" s="1"/>
    </row>
    <row r="32" spans="1:6" ht="12.75">
      <c r="A32" s="46" t="s">
        <v>51</v>
      </c>
      <c r="B32" s="64">
        <v>7557</v>
      </c>
      <c r="C32" s="67">
        <v>8911</v>
      </c>
      <c r="D32" s="67">
        <f>SUM(D27:D30)</f>
        <v>8911</v>
      </c>
      <c r="F32" s="1"/>
    </row>
    <row r="33" spans="1:6" ht="25.5">
      <c r="A33" s="46" t="s">
        <v>50</v>
      </c>
      <c r="B33" s="64">
        <v>2020</v>
      </c>
      <c r="C33" s="67">
        <v>1422</v>
      </c>
      <c r="D33" s="88"/>
      <c r="F33" s="1"/>
    </row>
    <row r="34" spans="1:6" ht="12.75">
      <c r="A34" s="74" t="s">
        <v>5</v>
      </c>
      <c r="B34" s="25">
        <f>B33+B32+B31</f>
        <v>293810</v>
      </c>
      <c r="C34" s="25">
        <f>C33+C32+C31</f>
        <v>355150.3</v>
      </c>
      <c r="D34" s="88"/>
      <c r="F34" s="1"/>
    </row>
    <row r="35" spans="1:4" ht="12.75">
      <c r="A35" s="47"/>
      <c r="B35" s="29"/>
      <c r="C35" s="29"/>
      <c r="D35" s="71"/>
    </row>
    <row r="36" spans="1:4" ht="25.5">
      <c r="A36" s="46" t="s">
        <v>41</v>
      </c>
      <c r="B36" s="64">
        <v>0</v>
      </c>
      <c r="C36" s="64">
        <v>13349</v>
      </c>
      <c r="D36" s="71"/>
    </row>
    <row r="37" spans="1:4" ht="12.75">
      <c r="A37" s="46" t="s">
        <v>40</v>
      </c>
      <c r="B37" s="64">
        <v>0</v>
      </c>
      <c r="C37" s="64">
        <v>2573.7</v>
      </c>
      <c r="D37" s="24"/>
    </row>
    <row r="38" spans="1:3" ht="12.75">
      <c r="A38" s="46" t="s">
        <v>48</v>
      </c>
      <c r="B38" s="25">
        <v>42310</v>
      </c>
      <c r="C38" s="25">
        <v>88267.8</v>
      </c>
    </row>
    <row r="39" spans="1:3" ht="12.75">
      <c r="A39" s="46" t="s">
        <v>36</v>
      </c>
      <c r="B39" s="64">
        <v>0</v>
      </c>
      <c r="C39" s="64">
        <v>4033.9</v>
      </c>
    </row>
    <row r="40" spans="1:4" ht="12.75">
      <c r="A40" s="47"/>
      <c r="B40" s="29"/>
      <c r="C40" s="29"/>
      <c r="D40" s="24"/>
    </row>
    <row r="41" spans="1:4" ht="12.75">
      <c r="A41" s="47"/>
      <c r="B41" s="29"/>
      <c r="D41" s="24"/>
    </row>
    <row r="42" spans="1:5" ht="15" customHeight="1">
      <c r="A42" s="38" t="s">
        <v>14</v>
      </c>
      <c r="B42" s="38"/>
      <c r="C42" s="29"/>
      <c r="D42" s="29"/>
      <c r="E42" s="1"/>
    </row>
    <row r="43" spans="1:6" ht="12.75">
      <c r="A43" s="1"/>
      <c r="B43" s="1"/>
      <c r="C43" s="1"/>
      <c r="D43" s="24" t="s">
        <v>77</v>
      </c>
      <c r="E43" s="1"/>
      <c r="F43" s="1"/>
    </row>
    <row r="44" spans="1:6" ht="27" customHeight="1">
      <c r="A44" s="65" t="s">
        <v>33</v>
      </c>
      <c r="B44" s="153" t="s">
        <v>44</v>
      </c>
      <c r="C44" s="154"/>
      <c r="D44" s="64" t="s">
        <v>82</v>
      </c>
      <c r="E44" s="1"/>
      <c r="F44" s="1"/>
    </row>
    <row r="45" spans="1:6" ht="12.75">
      <c r="A45" s="22" t="s">
        <v>74</v>
      </c>
      <c r="B45" s="155">
        <v>0</v>
      </c>
      <c r="C45" s="155"/>
      <c r="D45" s="64">
        <v>0</v>
      </c>
      <c r="E45" s="1"/>
      <c r="F45" s="1"/>
    </row>
    <row r="46" spans="1:6" ht="13.5" customHeight="1">
      <c r="A46" s="22" t="s">
        <v>30</v>
      </c>
      <c r="B46" s="155">
        <v>1017</v>
      </c>
      <c r="C46" s="155"/>
      <c r="D46" s="64">
        <v>0</v>
      </c>
      <c r="E46" s="1"/>
      <c r="F46" s="1"/>
    </row>
    <row r="47" spans="1:6" ht="12.75">
      <c r="A47" s="45" t="s">
        <v>128</v>
      </c>
      <c r="B47" s="155">
        <f>14682+42841.3</f>
        <v>57523.3</v>
      </c>
      <c r="C47" s="155"/>
      <c r="D47" s="64">
        <f>362.7+4.3</f>
        <v>367</v>
      </c>
      <c r="E47" s="1"/>
      <c r="F47" s="1"/>
    </row>
    <row r="48" spans="1:6" ht="12.75">
      <c r="A48" s="46" t="s">
        <v>17</v>
      </c>
      <c r="B48" s="150">
        <v>1112</v>
      </c>
      <c r="C48" s="151"/>
      <c r="D48" s="64">
        <v>1000</v>
      </c>
      <c r="E48" s="1"/>
      <c r="F48" s="1"/>
    </row>
    <row r="49" spans="1:6" ht="12.75">
      <c r="A49" s="74" t="s">
        <v>32</v>
      </c>
      <c r="B49" s="152">
        <f>SUM(B45:B48)</f>
        <v>59652.3</v>
      </c>
      <c r="C49" s="142"/>
      <c r="D49" s="25">
        <f>SUM(D45:D48)</f>
        <v>1367</v>
      </c>
      <c r="E49" s="1"/>
      <c r="F49" s="1"/>
    </row>
    <row r="50" spans="1:6" ht="12.75">
      <c r="A50" s="74" t="s">
        <v>83</v>
      </c>
      <c r="B50" s="160">
        <f>B49+D49</f>
        <v>61019.3</v>
      </c>
      <c r="C50" s="161"/>
      <c r="D50" s="162"/>
      <c r="E50" s="1"/>
      <c r="F50" s="1"/>
    </row>
    <row r="51" spans="1:6" ht="12.75">
      <c r="A51" s="46" t="s">
        <v>75</v>
      </c>
      <c r="B51" s="150">
        <v>49453</v>
      </c>
      <c r="C51" s="151"/>
      <c r="D51" s="29"/>
      <c r="E51" s="1"/>
      <c r="F51" s="1"/>
    </row>
    <row r="52" spans="1:6" ht="12.75">
      <c r="A52" s="33"/>
      <c r="B52" s="29"/>
      <c r="C52" s="29"/>
      <c r="D52" s="29"/>
      <c r="E52" s="1"/>
      <c r="F52" s="1"/>
    </row>
    <row r="53" spans="1:6" ht="12.75">
      <c r="A53" s="30"/>
      <c r="B53" s="29"/>
      <c r="C53" s="24"/>
      <c r="D53" s="24"/>
      <c r="E53" s="1"/>
      <c r="F53" s="1"/>
    </row>
    <row r="54" spans="1:5" ht="26.25" customHeight="1">
      <c r="A54" s="156" t="s">
        <v>96</v>
      </c>
      <c r="B54" s="157"/>
      <c r="C54" s="157"/>
      <c r="D54" s="33"/>
      <c r="E54" s="1"/>
    </row>
    <row r="55" spans="1:2" ht="12.75">
      <c r="A55" s="27"/>
      <c r="B55" s="29"/>
    </row>
    <row r="56" spans="1:5" ht="15" customHeight="1">
      <c r="A56" s="158" t="s">
        <v>107</v>
      </c>
      <c r="B56" s="158" t="s">
        <v>7</v>
      </c>
      <c r="C56" s="39"/>
      <c r="D56" s="1"/>
      <c r="E56" s="1"/>
    </row>
    <row r="57" spans="1:3" s="5" customFormat="1" ht="12.75">
      <c r="A57" s="159"/>
      <c r="B57" s="159"/>
      <c r="C57" s="39"/>
    </row>
    <row r="58" spans="1:3" s="5" customFormat="1" ht="12.75">
      <c r="A58" s="91" t="s">
        <v>86</v>
      </c>
      <c r="B58" s="90">
        <v>373</v>
      </c>
      <c r="C58" s="39"/>
    </row>
    <row r="59" spans="1:3" s="5" customFormat="1" ht="12.75">
      <c r="A59" s="91" t="s">
        <v>87</v>
      </c>
      <c r="B59" s="90">
        <v>566.8</v>
      </c>
      <c r="C59" s="39"/>
    </row>
    <row r="60" spans="1:3" s="5" customFormat="1" ht="12.75">
      <c r="A60" s="91" t="s">
        <v>88</v>
      </c>
      <c r="B60" s="90">
        <v>373</v>
      </c>
      <c r="C60" s="39"/>
    </row>
    <row r="61" spans="1:3" s="5" customFormat="1" ht="12.75">
      <c r="A61" s="91" t="s">
        <v>89</v>
      </c>
      <c r="B61" s="90">
        <v>1324</v>
      </c>
      <c r="C61" s="39"/>
    </row>
    <row r="62" spans="1:3" s="5" customFormat="1" ht="12.75">
      <c r="A62" s="91" t="s">
        <v>90</v>
      </c>
      <c r="B62" s="90">
        <v>86</v>
      </c>
      <c r="C62" s="39"/>
    </row>
    <row r="63" spans="1:3" s="5" customFormat="1" ht="12.75">
      <c r="A63" s="91" t="s">
        <v>91</v>
      </c>
      <c r="B63" s="90">
        <v>13495.5</v>
      </c>
      <c r="C63" s="39"/>
    </row>
    <row r="64" spans="1:4" ht="12.75">
      <c r="A64" s="16"/>
      <c r="B64" s="16"/>
      <c r="C64" s="16"/>
      <c r="D64" s="16"/>
    </row>
    <row r="65" spans="1:4" ht="12.75">
      <c r="A65" s="16"/>
      <c r="B65" s="16"/>
      <c r="C65" s="16"/>
      <c r="D65" s="16"/>
    </row>
    <row r="66" spans="1:4" ht="12.75">
      <c r="A66" s="16"/>
      <c r="B66" s="16"/>
      <c r="C66" s="24"/>
      <c r="D66" s="24"/>
    </row>
    <row r="67" spans="1:4" ht="12.75">
      <c r="A67" s="31" t="s">
        <v>126</v>
      </c>
      <c r="B67" s="16"/>
      <c r="C67" s="16"/>
      <c r="D67" s="16"/>
    </row>
    <row r="68" spans="1:4" ht="12.75">
      <c r="A68" s="16"/>
      <c r="B68" s="16"/>
      <c r="C68" s="16"/>
      <c r="D68" s="16"/>
    </row>
    <row r="69" spans="1:4" s="5" customFormat="1" ht="12.75" customHeight="1">
      <c r="A69" s="143" t="s">
        <v>137</v>
      </c>
      <c r="B69" s="145" t="s">
        <v>6</v>
      </c>
      <c r="C69" s="146"/>
      <c r="D69" s="39"/>
    </row>
    <row r="70" spans="1:4" s="5" customFormat="1" ht="12.75" customHeight="1">
      <c r="A70" s="144"/>
      <c r="B70" s="147"/>
      <c r="C70" s="148"/>
      <c r="D70" s="39"/>
    </row>
    <row r="71" spans="1:4" ht="12.75">
      <c r="A71" s="8" t="s">
        <v>138</v>
      </c>
      <c r="B71" s="135">
        <v>6000</v>
      </c>
      <c r="C71" s="136"/>
      <c r="D71" s="40"/>
    </row>
    <row r="72" spans="1:4" ht="14.25" customHeight="1">
      <c r="A72" s="8" t="s">
        <v>139</v>
      </c>
      <c r="B72" s="135">
        <v>9000</v>
      </c>
      <c r="C72" s="136"/>
      <c r="D72" s="40"/>
    </row>
    <row r="73" spans="1:3" ht="12.75">
      <c r="A73" s="8" t="s">
        <v>140</v>
      </c>
      <c r="B73" s="135">
        <v>5000</v>
      </c>
      <c r="C73" s="136"/>
    </row>
    <row r="74" spans="1:3" ht="12.75">
      <c r="A74" s="8" t="s">
        <v>5</v>
      </c>
      <c r="B74" s="135">
        <f>SUM(B71:B73)</f>
        <v>20000</v>
      </c>
      <c r="C74" s="136"/>
    </row>
    <row r="75" ht="12.75">
      <c r="A75" s="1"/>
    </row>
    <row r="76" spans="1:3" ht="27" customHeight="1">
      <c r="A76" s="149"/>
      <c r="B76" s="149"/>
      <c r="C76" s="149"/>
    </row>
  </sheetData>
  <mergeCells count="24">
    <mergeCell ref="A5:A6"/>
    <mergeCell ref="B5:B6"/>
    <mergeCell ref="C5:D5"/>
    <mergeCell ref="A15:A16"/>
    <mergeCell ref="A76:C76"/>
    <mergeCell ref="B71:C71"/>
    <mergeCell ref="B72:C72"/>
    <mergeCell ref="C15:D15"/>
    <mergeCell ref="B15:B16"/>
    <mergeCell ref="B49:C49"/>
    <mergeCell ref="B46:C46"/>
    <mergeCell ref="B44:C44"/>
    <mergeCell ref="B51:C51"/>
    <mergeCell ref="A69:A70"/>
    <mergeCell ref="A56:A57"/>
    <mergeCell ref="B48:C48"/>
    <mergeCell ref="A54:C54"/>
    <mergeCell ref="B50:D50"/>
    <mergeCell ref="B74:C74"/>
    <mergeCell ref="B45:C45"/>
    <mergeCell ref="B47:C47"/>
    <mergeCell ref="B56:B57"/>
    <mergeCell ref="B73:C73"/>
    <mergeCell ref="B69:C70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&amp;LPříloha č.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zoomScale="80" zoomScaleNormal="80" workbookViewId="0" topLeftCell="A21">
      <selection activeCell="D80" sqref="D80"/>
      <selection activeCell="B52" sqref="B52:D52"/>
    </sheetView>
  </sheetViews>
  <sheetFormatPr defaultColWidth="9.140625" defaultRowHeight="12.75"/>
  <cols>
    <col min="1" max="1" width="30.00390625" style="2" customWidth="1"/>
    <col min="2" max="2" width="17.8515625" style="2" customWidth="1"/>
    <col min="3" max="4" width="19.28125" style="2" customWidth="1"/>
    <col min="5" max="16384" width="9.140625" style="2" customWidth="1"/>
  </cols>
  <sheetData>
    <row r="1" spans="1:4" ht="15.75">
      <c r="A1" s="127" t="s">
        <v>117</v>
      </c>
      <c r="D1" s="24"/>
    </row>
    <row r="2" spans="1:4" ht="15.75">
      <c r="A2" s="127"/>
      <c r="D2" s="24"/>
    </row>
    <row r="3" spans="1:4" ht="12.75">
      <c r="A3" s="4" t="s">
        <v>76</v>
      </c>
      <c r="B3" s="1"/>
      <c r="C3" s="1"/>
      <c r="D3" s="1"/>
    </row>
    <row r="4" spans="1:4" ht="12.75">
      <c r="A4" s="1"/>
      <c r="B4" s="1"/>
      <c r="C4" s="1"/>
      <c r="D4" s="24" t="s">
        <v>77</v>
      </c>
    </row>
    <row r="5" spans="1:4" ht="12.75">
      <c r="A5" s="137" t="s">
        <v>8</v>
      </c>
      <c r="B5" s="139" t="s">
        <v>2</v>
      </c>
      <c r="C5" s="141" t="s">
        <v>0</v>
      </c>
      <c r="D5" s="142"/>
    </row>
    <row r="6" spans="1:4" ht="12.75">
      <c r="A6" s="138"/>
      <c r="B6" s="140"/>
      <c r="C6" s="32" t="s">
        <v>1</v>
      </c>
      <c r="D6" s="25" t="s">
        <v>3</v>
      </c>
    </row>
    <row r="7" spans="1:4" ht="12.75">
      <c r="A7" s="22" t="s">
        <v>9</v>
      </c>
      <c r="B7" s="48">
        <v>527018</v>
      </c>
      <c r="C7" s="26">
        <v>520859</v>
      </c>
      <c r="D7" s="26">
        <v>6159</v>
      </c>
    </row>
    <row r="8" spans="1:4" ht="12.75">
      <c r="A8" s="22" t="s">
        <v>10</v>
      </c>
      <c r="B8" s="49">
        <v>1921905</v>
      </c>
      <c r="C8" s="26">
        <v>1878874</v>
      </c>
      <c r="D8" s="26">
        <v>43031</v>
      </c>
    </row>
    <row r="9" spans="1:4" ht="12.75">
      <c r="A9" s="22" t="s">
        <v>11</v>
      </c>
      <c r="B9" s="49">
        <v>1127531</v>
      </c>
      <c r="C9" s="26">
        <v>1098527</v>
      </c>
      <c r="D9" s="26">
        <v>29004</v>
      </c>
    </row>
    <row r="10" spans="1:4" ht="12.75">
      <c r="A10" s="22" t="s">
        <v>12</v>
      </c>
      <c r="B10" s="49">
        <v>37447</v>
      </c>
      <c r="C10" s="26">
        <v>36791</v>
      </c>
      <c r="D10" s="26">
        <v>656</v>
      </c>
    </row>
    <row r="11" spans="1:4" ht="12.75">
      <c r="A11" s="23" t="s">
        <v>5</v>
      </c>
      <c r="B11" s="49">
        <f>SUM(B7:B10)</f>
        <v>3613901</v>
      </c>
      <c r="C11" s="49">
        <f>SUM(C7:C10)</f>
        <v>3535051</v>
      </c>
      <c r="D11" s="49">
        <f>SUM(D7:D10)</f>
        <v>78850</v>
      </c>
    </row>
    <row r="12" spans="1:2" ht="12.75">
      <c r="A12" s="1"/>
      <c r="B12" s="1"/>
    </row>
    <row r="13" spans="1:6" ht="12.75">
      <c r="A13" s="4" t="s">
        <v>78</v>
      </c>
      <c r="B13" s="1"/>
      <c r="C13" s="1"/>
      <c r="D13" s="1"/>
      <c r="E13" s="1"/>
      <c r="F13" s="1"/>
    </row>
    <row r="14" spans="1:6" ht="12.75">
      <c r="A14" s="1"/>
      <c r="B14" s="1"/>
      <c r="C14" s="1"/>
      <c r="D14" s="24" t="s">
        <v>77</v>
      </c>
      <c r="E14" s="1"/>
      <c r="F14" s="1"/>
    </row>
    <row r="15" spans="1:6" ht="14.25" customHeight="1">
      <c r="A15" s="137" t="s">
        <v>8</v>
      </c>
      <c r="B15" s="139" t="s">
        <v>2</v>
      </c>
      <c r="C15" s="141" t="s">
        <v>0</v>
      </c>
      <c r="D15" s="142"/>
      <c r="E15" s="1"/>
      <c r="F15" s="1"/>
    </row>
    <row r="16" spans="1:6" ht="12.75">
      <c r="A16" s="138"/>
      <c r="B16" s="140"/>
      <c r="C16" s="32" t="s">
        <v>1</v>
      </c>
      <c r="D16" s="25" t="s">
        <v>3</v>
      </c>
      <c r="E16" s="1"/>
      <c r="F16" s="1"/>
    </row>
    <row r="17" spans="1:8" ht="12.75">
      <c r="A17" s="22" t="s">
        <v>9</v>
      </c>
      <c r="B17" s="93">
        <v>530167.9278000001</v>
      </c>
      <c r="C17" s="56">
        <f>B17-D17</f>
        <v>524864.7994</v>
      </c>
      <c r="D17" s="56">
        <v>5303.1284</v>
      </c>
      <c r="E17" s="1"/>
      <c r="F17" s="95"/>
      <c r="G17" s="95"/>
      <c r="H17" s="95"/>
    </row>
    <row r="18" spans="1:8" ht="12.75">
      <c r="A18" s="22" t="s">
        <v>10</v>
      </c>
      <c r="B18" s="94">
        <v>1936715.3624000002</v>
      </c>
      <c r="C18" s="56">
        <f>B18-D18</f>
        <v>1894335.4606</v>
      </c>
      <c r="D18" s="56">
        <v>42379.9018</v>
      </c>
      <c r="E18" s="1"/>
      <c r="F18" s="95"/>
      <c r="G18" s="95"/>
      <c r="H18" s="95"/>
    </row>
    <row r="19" spans="1:8" ht="12.75">
      <c r="A19" s="22" t="s">
        <v>11</v>
      </c>
      <c r="B19" s="94">
        <v>1138969.7998</v>
      </c>
      <c r="C19" s="56">
        <f>B19-D19</f>
        <v>1107928.88</v>
      </c>
      <c r="D19" s="56">
        <v>31040.91980000001</v>
      </c>
      <c r="E19" s="1"/>
      <c r="F19" s="95"/>
      <c r="G19" s="95"/>
      <c r="H19" s="95"/>
    </row>
    <row r="20" spans="1:8" ht="12.75">
      <c r="A20" s="22" t="s">
        <v>12</v>
      </c>
      <c r="B20" s="94">
        <v>41197.91</v>
      </c>
      <c r="C20" s="56">
        <f>B20-D20</f>
        <v>40765.76</v>
      </c>
      <c r="D20" s="56">
        <v>432.15</v>
      </c>
      <c r="E20" s="1"/>
      <c r="F20" s="95"/>
      <c r="G20" s="95"/>
      <c r="H20" s="95"/>
    </row>
    <row r="21" spans="1:6" ht="12.75">
      <c r="A21" s="23" t="s">
        <v>5</v>
      </c>
      <c r="B21" s="94">
        <f>SUM(B17:B20)</f>
        <v>3647051</v>
      </c>
      <c r="C21" s="92">
        <f>SUM(C17:C20)</f>
        <v>3567894.9</v>
      </c>
      <c r="D21" s="94">
        <f>SUM(D17:D20)</f>
        <v>79156.1</v>
      </c>
      <c r="E21" s="1"/>
      <c r="F21" s="1"/>
    </row>
    <row r="22" spans="1:6" ht="12.75">
      <c r="A22" s="33"/>
      <c r="B22" s="128"/>
      <c r="C22" s="28"/>
      <c r="D22" s="28"/>
      <c r="E22" s="1"/>
      <c r="F22" s="1"/>
    </row>
    <row r="23" spans="1:4" ht="12.75">
      <c r="A23" s="27"/>
      <c r="B23" s="28"/>
      <c r="D23" s="24"/>
    </row>
    <row r="24" spans="1:6" ht="15.75" customHeight="1">
      <c r="A24" s="34" t="s">
        <v>34</v>
      </c>
      <c r="B24" s="34"/>
      <c r="C24" s="50"/>
      <c r="D24" s="50"/>
      <c r="E24" s="36"/>
      <c r="F24" s="50"/>
    </row>
    <row r="25" spans="1:6" ht="12.75">
      <c r="A25" s="27"/>
      <c r="B25" s="28"/>
      <c r="D25" s="24" t="s">
        <v>77</v>
      </c>
      <c r="E25" s="1"/>
      <c r="F25" s="1"/>
    </row>
    <row r="26" spans="1:6" ht="25.5">
      <c r="A26" s="65" t="s">
        <v>33</v>
      </c>
      <c r="B26" s="69" t="s">
        <v>37</v>
      </c>
      <c r="C26" s="68" t="s">
        <v>38</v>
      </c>
      <c r="D26" s="69" t="s">
        <v>62</v>
      </c>
      <c r="E26" s="1"/>
      <c r="F26" s="1"/>
    </row>
    <row r="27" spans="1:6" ht="12.75">
      <c r="A27" s="22" t="s">
        <v>74</v>
      </c>
      <c r="B27" s="64">
        <v>2645</v>
      </c>
      <c r="C27" s="73">
        <v>2838.1</v>
      </c>
      <c r="D27" s="64">
        <v>86.8</v>
      </c>
      <c r="E27" s="1"/>
      <c r="F27" s="1"/>
    </row>
    <row r="28" spans="1:6" ht="12.75">
      <c r="A28" s="22" t="s">
        <v>30</v>
      </c>
      <c r="B28" s="64">
        <v>30862</v>
      </c>
      <c r="C28" s="73">
        <v>33636.42599999999</v>
      </c>
      <c r="D28" s="64">
        <v>255.4</v>
      </c>
      <c r="E28" s="1"/>
      <c r="F28" s="1"/>
    </row>
    <row r="29" spans="1:6" ht="12.75">
      <c r="A29" s="45" t="s">
        <v>128</v>
      </c>
      <c r="B29" s="64">
        <f>39105+188767</f>
        <v>227872</v>
      </c>
      <c r="C29" s="73">
        <f>43290.5+218169</f>
        <v>261459.5</v>
      </c>
      <c r="D29" s="64">
        <f>1909.9+7031.4</f>
        <v>8941.3</v>
      </c>
      <c r="E29" s="1"/>
      <c r="F29" s="1"/>
    </row>
    <row r="30" spans="1:4" ht="12.75">
      <c r="A30" s="46" t="s">
        <v>17</v>
      </c>
      <c r="B30" s="64">
        <v>20451</v>
      </c>
      <c r="C30" s="73">
        <v>22368.377</v>
      </c>
      <c r="D30" s="60">
        <v>74.7</v>
      </c>
    </row>
    <row r="31" spans="1:3" ht="12.75">
      <c r="A31" s="74" t="s">
        <v>63</v>
      </c>
      <c r="B31" s="25">
        <f>SUM(B27:B30)</f>
        <v>281830</v>
      </c>
      <c r="C31" s="72">
        <f>SUM(C27:C30)</f>
        <v>320302.403</v>
      </c>
    </row>
    <row r="32" spans="1:4" ht="12.75">
      <c r="A32" s="46" t="s">
        <v>51</v>
      </c>
      <c r="B32" s="64">
        <v>15060</v>
      </c>
      <c r="C32" s="67">
        <v>9941</v>
      </c>
      <c r="D32" s="64">
        <f>SUM(D27:D30)</f>
        <v>9358.2</v>
      </c>
    </row>
    <row r="33" spans="1:4" ht="24.75" customHeight="1">
      <c r="A33" s="46" t="s">
        <v>50</v>
      </c>
      <c r="B33" s="64">
        <v>3920</v>
      </c>
      <c r="C33" s="67">
        <f>7105+100</f>
        <v>7205</v>
      </c>
      <c r="D33" s="29"/>
    </row>
    <row r="34" spans="1:4" ht="12.75">
      <c r="A34" s="74" t="s">
        <v>5</v>
      </c>
      <c r="B34" s="25">
        <f>B33+B32+B31</f>
        <v>300810</v>
      </c>
      <c r="C34" s="25">
        <f>C33+C32+C31</f>
        <v>337448.403</v>
      </c>
      <c r="D34" s="29"/>
    </row>
    <row r="35" spans="1:4" ht="12.75">
      <c r="A35" s="47"/>
      <c r="B35" s="29"/>
      <c r="C35" s="29"/>
      <c r="D35" s="24"/>
    </row>
    <row r="36" spans="1:4" ht="25.5">
      <c r="A36" s="46" t="s">
        <v>41</v>
      </c>
      <c r="B36" s="64">
        <v>0</v>
      </c>
      <c r="C36" s="64">
        <v>15908.3</v>
      </c>
      <c r="D36" s="24"/>
    </row>
    <row r="37" spans="1:4" ht="12.75">
      <c r="A37" s="46" t="s">
        <v>39</v>
      </c>
      <c r="B37" s="64">
        <v>0</v>
      </c>
      <c r="C37" s="110">
        <v>1087.3</v>
      </c>
      <c r="D37" s="24"/>
    </row>
    <row r="38" spans="1:4" ht="12.75">
      <c r="A38" s="46" t="s">
        <v>48</v>
      </c>
      <c r="B38" s="25">
        <v>42249</v>
      </c>
      <c r="C38" s="25">
        <v>50588</v>
      </c>
      <c r="D38" s="24"/>
    </row>
    <row r="39" spans="1:4" ht="12.75">
      <c r="A39" s="46" t="s">
        <v>36</v>
      </c>
      <c r="B39" s="64">
        <v>0</v>
      </c>
      <c r="C39" s="64">
        <v>5276.2</v>
      </c>
      <c r="D39" s="24"/>
    </row>
    <row r="40" spans="1:4" ht="12.75">
      <c r="A40" s="46" t="s">
        <v>49</v>
      </c>
      <c r="B40" s="64">
        <v>0</v>
      </c>
      <c r="C40" s="64">
        <v>3000</v>
      </c>
      <c r="D40" s="24"/>
    </row>
    <row r="41" spans="1:4" ht="12.75">
      <c r="A41" s="47"/>
      <c r="B41" s="29"/>
      <c r="C41" s="29"/>
      <c r="D41" s="24"/>
    </row>
    <row r="42" spans="1:4" ht="12.75">
      <c r="A42" s="47"/>
      <c r="B42" s="29"/>
      <c r="D42" s="24"/>
    </row>
    <row r="43" spans="1:5" ht="15" customHeight="1">
      <c r="A43" s="38" t="s">
        <v>35</v>
      </c>
      <c r="B43" s="38"/>
      <c r="C43" s="29"/>
      <c r="D43" s="29"/>
      <c r="E43" s="1"/>
    </row>
    <row r="44" spans="1:6" ht="12.75">
      <c r="A44" s="1"/>
      <c r="B44" s="1"/>
      <c r="C44" s="1"/>
      <c r="D44" s="24" t="s">
        <v>77</v>
      </c>
      <c r="E44" s="1"/>
      <c r="F44" s="1"/>
    </row>
    <row r="45" spans="1:6" ht="27" customHeight="1">
      <c r="A45" s="65" t="s">
        <v>33</v>
      </c>
      <c r="B45" s="153" t="s">
        <v>46</v>
      </c>
      <c r="C45" s="154"/>
      <c r="D45" s="64" t="s">
        <v>82</v>
      </c>
      <c r="E45" s="1"/>
      <c r="F45" s="1"/>
    </row>
    <row r="46" spans="1:6" ht="12.75">
      <c r="A46" s="22" t="s">
        <v>74</v>
      </c>
      <c r="B46" s="165">
        <v>0</v>
      </c>
      <c r="C46" s="165"/>
      <c r="D46" s="111"/>
      <c r="E46" s="1"/>
      <c r="F46" s="1"/>
    </row>
    <row r="47" spans="1:6" ht="13.5" customHeight="1">
      <c r="A47" s="22" t="s">
        <v>30</v>
      </c>
      <c r="B47" s="165">
        <v>5017</v>
      </c>
      <c r="C47" s="165"/>
      <c r="D47" s="111"/>
      <c r="E47" s="1"/>
      <c r="F47" s="1"/>
    </row>
    <row r="48" spans="1:6" ht="12.75" customHeight="1">
      <c r="A48" s="22" t="s">
        <v>31</v>
      </c>
      <c r="B48" s="165">
        <v>3887</v>
      </c>
      <c r="C48" s="165"/>
      <c r="D48" s="111"/>
      <c r="E48" s="1"/>
      <c r="F48" s="1"/>
    </row>
    <row r="49" spans="1:6" ht="12.75">
      <c r="A49" s="45" t="s">
        <v>47</v>
      </c>
      <c r="B49" s="165">
        <v>86846.2</v>
      </c>
      <c r="C49" s="165"/>
      <c r="D49" s="111">
        <f>20425+2213.6</f>
        <v>22638.6</v>
      </c>
      <c r="E49" s="1"/>
      <c r="F49" s="1"/>
    </row>
    <row r="50" spans="1:6" ht="12.75">
      <c r="A50" s="46" t="s">
        <v>17</v>
      </c>
      <c r="B50" s="163">
        <v>1060</v>
      </c>
      <c r="C50" s="164"/>
      <c r="D50" s="111">
        <v>500</v>
      </c>
      <c r="E50" s="1"/>
      <c r="F50" s="1"/>
    </row>
    <row r="51" spans="1:6" ht="12.75">
      <c r="A51" s="46" t="s">
        <v>84</v>
      </c>
      <c r="B51" s="163">
        <f>SUM(B46:B50)</f>
        <v>96810.2</v>
      </c>
      <c r="C51" s="164"/>
      <c r="D51" s="111">
        <f>SUM(D46:D50)</f>
        <v>23138.6</v>
      </c>
      <c r="E51" s="1"/>
      <c r="F51" s="1"/>
    </row>
    <row r="52" spans="1:6" ht="12.75">
      <c r="A52" s="74" t="s">
        <v>83</v>
      </c>
      <c r="B52" s="166">
        <f>B51+D51</f>
        <v>119948.79999999999</v>
      </c>
      <c r="C52" s="167"/>
      <c r="D52" s="168"/>
      <c r="E52" s="1"/>
      <c r="F52" s="1"/>
    </row>
    <row r="53" spans="1:6" ht="12.75">
      <c r="A53" s="33"/>
      <c r="B53" s="29"/>
      <c r="C53" s="29"/>
      <c r="D53" s="29"/>
      <c r="E53" s="1"/>
      <c r="F53" s="1"/>
    </row>
    <row r="54" spans="1:6" ht="12.75">
      <c r="A54" s="30"/>
      <c r="B54" s="29"/>
      <c r="D54" s="24"/>
      <c r="E54" s="1"/>
      <c r="F54" s="1"/>
    </row>
    <row r="55" spans="1:5" ht="26.25" customHeight="1">
      <c r="A55" s="156" t="s">
        <v>129</v>
      </c>
      <c r="B55" s="156"/>
      <c r="C55" s="156"/>
      <c r="D55" s="33"/>
      <c r="E55" s="1"/>
    </row>
    <row r="56" spans="1:4" ht="12.75">
      <c r="A56" s="27"/>
      <c r="B56" s="29"/>
      <c r="D56" s="24" t="s">
        <v>77</v>
      </c>
    </row>
    <row r="57" spans="1:5" ht="15" customHeight="1">
      <c r="A57" s="158" t="s">
        <v>107</v>
      </c>
      <c r="B57" s="158" t="s">
        <v>108</v>
      </c>
      <c r="C57" s="1"/>
      <c r="D57" s="1"/>
      <c r="E57" s="1"/>
    </row>
    <row r="58" spans="1:2" ht="12.75">
      <c r="A58" s="159"/>
      <c r="B58" s="159"/>
    </row>
    <row r="59" spans="1:2" ht="12.75">
      <c r="A59" s="7" t="s">
        <v>59</v>
      </c>
      <c r="B59" s="7">
        <v>29906.4</v>
      </c>
    </row>
    <row r="60" spans="1:2" ht="12.75">
      <c r="A60" s="7" t="s">
        <v>53</v>
      </c>
      <c r="B60" s="7">
        <v>791.1</v>
      </c>
    </row>
    <row r="61" spans="1:2" ht="12.75">
      <c r="A61" s="7" t="s">
        <v>54</v>
      </c>
      <c r="B61" s="7">
        <v>4853.1</v>
      </c>
    </row>
    <row r="62" spans="1:2" ht="12.75">
      <c r="A62" s="7" t="s">
        <v>55</v>
      </c>
      <c r="B62" s="7">
        <v>115.1</v>
      </c>
    </row>
    <row r="63" spans="1:2" ht="12.75">
      <c r="A63" s="7" t="s">
        <v>56</v>
      </c>
      <c r="B63" s="7">
        <v>395</v>
      </c>
    </row>
    <row r="64" spans="1:2" ht="12.75">
      <c r="A64" s="7" t="s">
        <v>57</v>
      </c>
      <c r="B64" s="7">
        <v>4878</v>
      </c>
    </row>
    <row r="65" spans="1:2" ht="12.75">
      <c r="A65" s="7" t="s">
        <v>58</v>
      </c>
      <c r="B65" s="7">
        <v>265.9</v>
      </c>
    </row>
    <row r="66" spans="1:2" ht="12.75">
      <c r="A66" s="7" t="s">
        <v>60</v>
      </c>
      <c r="B66" s="7">
        <v>1393</v>
      </c>
    </row>
    <row r="67" spans="1:2" ht="12.75">
      <c r="A67" s="7" t="s">
        <v>61</v>
      </c>
      <c r="B67" s="7">
        <v>41</v>
      </c>
    </row>
    <row r="68" spans="1:4" ht="12.75">
      <c r="A68" s="16"/>
      <c r="B68" s="16"/>
      <c r="C68" s="16"/>
      <c r="D68" s="16"/>
    </row>
    <row r="69" spans="1:4" ht="12.75">
      <c r="A69" s="16"/>
      <c r="B69" s="16"/>
      <c r="C69" s="16"/>
      <c r="D69" s="16"/>
    </row>
    <row r="70" spans="1:4" ht="12.75">
      <c r="A70" s="16"/>
      <c r="B70" s="16"/>
      <c r="C70" s="24"/>
      <c r="D70" s="24"/>
    </row>
    <row r="71" spans="1:4" ht="12.75">
      <c r="A71" s="31" t="s">
        <v>125</v>
      </c>
      <c r="B71" s="16"/>
      <c r="C71" s="16"/>
      <c r="D71" s="16"/>
    </row>
    <row r="72" spans="1:4" ht="12.75">
      <c r="A72" s="16"/>
      <c r="B72" s="16"/>
      <c r="C72" s="16"/>
      <c r="D72" s="16"/>
    </row>
    <row r="73" spans="1:4" ht="12.75" customHeight="1">
      <c r="A73" s="143" t="s">
        <v>137</v>
      </c>
      <c r="B73" s="145" t="s">
        <v>6</v>
      </c>
      <c r="C73" s="146"/>
      <c r="D73" s="39"/>
    </row>
    <row r="74" spans="1:4" ht="12.75" customHeight="1">
      <c r="A74" s="144"/>
      <c r="B74" s="147"/>
      <c r="C74" s="148"/>
      <c r="D74" s="39"/>
    </row>
    <row r="75" spans="1:4" ht="12.75">
      <c r="A75" s="8" t="s">
        <v>138</v>
      </c>
      <c r="B75" s="135">
        <v>5865</v>
      </c>
      <c r="C75" s="136"/>
      <c r="D75" s="40"/>
    </row>
    <row r="76" spans="1:4" ht="14.25" customHeight="1">
      <c r="A76" s="8" t="s">
        <v>139</v>
      </c>
      <c r="B76" s="135">
        <v>8797</v>
      </c>
      <c r="C76" s="136"/>
      <c r="D76" s="40"/>
    </row>
    <row r="77" spans="1:3" ht="12.75">
      <c r="A77" s="8" t="s">
        <v>140</v>
      </c>
      <c r="B77" s="135">
        <v>4888</v>
      </c>
      <c r="C77" s="136"/>
    </row>
    <row r="78" spans="1:3" ht="12.75">
      <c r="A78" s="8" t="s">
        <v>5</v>
      </c>
      <c r="B78" s="135">
        <f>SUM(B75:B77)</f>
        <v>19550</v>
      </c>
      <c r="C78" s="136"/>
    </row>
    <row r="79" ht="12.75">
      <c r="A79" s="1"/>
    </row>
    <row r="80" spans="1:3" ht="27" customHeight="1">
      <c r="A80" s="134"/>
      <c r="B80" s="134"/>
      <c r="C80" s="134"/>
    </row>
  </sheetData>
  <mergeCells count="23">
    <mergeCell ref="B75:C75"/>
    <mergeCell ref="B76:C76"/>
    <mergeCell ref="B45:C45"/>
    <mergeCell ref="B49:C49"/>
    <mergeCell ref="A73:A74"/>
    <mergeCell ref="B73:C74"/>
    <mergeCell ref="B57:B58"/>
    <mergeCell ref="A55:C55"/>
    <mergeCell ref="A57:A58"/>
    <mergeCell ref="A5:A6"/>
    <mergeCell ref="B5:B6"/>
    <mergeCell ref="C5:D5"/>
    <mergeCell ref="B46:C46"/>
    <mergeCell ref="A15:A16"/>
    <mergeCell ref="B77:C77"/>
    <mergeCell ref="B78:C78"/>
    <mergeCell ref="C15:D15"/>
    <mergeCell ref="B15:B16"/>
    <mergeCell ref="B51:C51"/>
    <mergeCell ref="B50:C50"/>
    <mergeCell ref="B47:C47"/>
    <mergeCell ref="B48:C48"/>
    <mergeCell ref="B52:D5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&amp;LPříloha č. 4</oddHeader>
  </headerFooter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="85" zoomScaleNormal="85" workbookViewId="0" topLeftCell="A1">
      <selection activeCell="B21" sqref="B21"/>
      <selection activeCell="A1" sqref="A1"/>
    </sheetView>
  </sheetViews>
  <sheetFormatPr defaultColWidth="9.140625" defaultRowHeight="12.75"/>
  <cols>
    <col min="1" max="1" width="22.28125" style="0" customWidth="1"/>
    <col min="2" max="2" width="10.28125" style="0" customWidth="1"/>
    <col min="3" max="3" width="11.28125" style="0" customWidth="1"/>
    <col min="4" max="4" width="10.57421875" style="0" customWidth="1"/>
    <col min="5" max="5" width="11.421875" style="0" bestFit="1" customWidth="1"/>
  </cols>
  <sheetData>
    <row r="1" ht="15.75">
      <c r="A1" s="127" t="s">
        <v>97</v>
      </c>
    </row>
    <row r="3" spans="1:4" ht="38.25">
      <c r="A3" s="96" t="s">
        <v>98</v>
      </c>
      <c r="B3" s="64" t="s">
        <v>99</v>
      </c>
      <c r="C3" s="64" t="s">
        <v>100</v>
      </c>
      <c r="D3" s="64" t="s">
        <v>101</v>
      </c>
    </row>
    <row r="4" spans="1:4" ht="12.75">
      <c r="A4" s="97" t="s">
        <v>32</v>
      </c>
      <c r="B4" s="98">
        <v>4858.3</v>
      </c>
      <c r="C4" s="98">
        <v>4707.958</v>
      </c>
      <c r="D4" s="98">
        <v>150.342</v>
      </c>
    </row>
    <row r="5" spans="1:4" ht="12.75">
      <c r="A5" s="58" t="s">
        <v>102</v>
      </c>
      <c r="B5" s="99">
        <v>4858.3</v>
      </c>
      <c r="C5" s="99">
        <v>4707.958</v>
      </c>
      <c r="D5" s="99">
        <v>150.342</v>
      </c>
    </row>
    <row r="7" spans="1:4" ht="38.25">
      <c r="A7" s="96" t="s">
        <v>103</v>
      </c>
      <c r="B7" s="64" t="s">
        <v>99</v>
      </c>
      <c r="C7" s="64" t="s">
        <v>100</v>
      </c>
      <c r="D7" s="64" t="s">
        <v>101</v>
      </c>
    </row>
    <row r="8" spans="1:4" ht="12.75">
      <c r="A8" s="97" t="s">
        <v>32</v>
      </c>
      <c r="B8" s="100">
        <v>13336.6</v>
      </c>
      <c r="C8" s="101">
        <v>12907.428</v>
      </c>
      <c r="D8" s="100">
        <v>429.172</v>
      </c>
    </row>
    <row r="9" spans="1:4" ht="12.75">
      <c r="A9" s="7" t="s">
        <v>102</v>
      </c>
      <c r="B9" s="102">
        <v>4842.6</v>
      </c>
      <c r="C9" s="103">
        <v>4659.502</v>
      </c>
      <c r="D9" s="103">
        <v>183.098</v>
      </c>
    </row>
    <row r="10" spans="1:4" ht="12.75">
      <c r="A10" s="7" t="s">
        <v>104</v>
      </c>
      <c r="B10" s="102">
        <v>8494</v>
      </c>
      <c r="C10" s="103">
        <v>8247.926</v>
      </c>
      <c r="D10" s="103">
        <v>246.074</v>
      </c>
    </row>
    <row r="11" ht="15.75">
      <c r="A11" s="104"/>
    </row>
    <row r="12" ht="12.75">
      <c r="A12" s="105"/>
    </row>
    <row r="13" spans="1:4" ht="38.25">
      <c r="A13" s="96" t="s">
        <v>105</v>
      </c>
      <c r="B13" s="64" t="s">
        <v>99</v>
      </c>
      <c r="C13" s="64" t="s">
        <v>100</v>
      </c>
      <c r="D13" s="64" t="s">
        <v>101</v>
      </c>
    </row>
    <row r="14" spans="1:4" ht="12.75">
      <c r="A14" s="97" t="s">
        <v>32</v>
      </c>
      <c r="B14" s="106">
        <v>12922.6</v>
      </c>
      <c r="C14" s="107">
        <v>12633.561</v>
      </c>
      <c r="D14" s="107">
        <v>289.039</v>
      </c>
    </row>
    <row r="15" spans="1:4" ht="12.75">
      <c r="A15" s="7" t="s">
        <v>102</v>
      </c>
      <c r="B15" s="108">
        <v>4790</v>
      </c>
      <c r="C15" s="109">
        <v>4679.99</v>
      </c>
      <c r="D15" s="109">
        <v>110.01</v>
      </c>
    </row>
    <row r="16" spans="1:4" ht="12.75">
      <c r="A16" s="7" t="s">
        <v>104</v>
      </c>
      <c r="B16" s="108">
        <v>8132.6</v>
      </c>
      <c r="C16" s="109">
        <v>7953.571</v>
      </c>
      <c r="D16" s="109">
        <v>179.029</v>
      </c>
    </row>
    <row r="19" spans="1:4" ht="38.25">
      <c r="A19" s="96" t="s">
        <v>106</v>
      </c>
      <c r="B19" s="64" t="s">
        <v>99</v>
      </c>
      <c r="C19" s="64" t="s">
        <v>100</v>
      </c>
      <c r="D19" s="64" t="s">
        <v>101</v>
      </c>
    </row>
    <row r="20" spans="1:4" ht="12.75">
      <c r="A20" s="97" t="s">
        <v>32</v>
      </c>
      <c r="B20" s="106">
        <f>B21+B22</f>
        <v>12548.7</v>
      </c>
      <c r="C20" s="106">
        <f>C21+C22</f>
        <v>12321.14</v>
      </c>
      <c r="D20" s="106">
        <f>D21+D22</f>
        <v>227.5600000000004</v>
      </c>
    </row>
    <row r="21" spans="1:4" ht="12.75">
      <c r="A21" s="7" t="s">
        <v>102</v>
      </c>
      <c r="B21" s="108">
        <v>4660.4</v>
      </c>
      <c r="C21" s="109">
        <v>4470.36</v>
      </c>
      <c r="D21" s="109">
        <f>B21-C21</f>
        <v>190.03999999999996</v>
      </c>
    </row>
    <row r="22" spans="1:4" ht="12.75">
      <c r="A22" s="7" t="s">
        <v>104</v>
      </c>
      <c r="B22" s="108">
        <v>7888.3</v>
      </c>
      <c r="C22" s="109">
        <v>7850.78</v>
      </c>
      <c r="D22" s="109">
        <f>B22-C22</f>
        <v>37.52000000000044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&amp;LPříloha č.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zoomScale="90" zoomScaleNormal="90" workbookViewId="0" topLeftCell="A1">
      <pane xSplit="1" ySplit="4" topLeftCell="B5" activePane="bottomRight" state="split"/>
      <selection pane="topLeft" activeCell="B21" sqref="B21"/>
      <selection pane="topRight" activeCell="B21" sqref="B21"/>
      <selection pane="bottomLeft" activeCell="B21" sqref="B21"/>
      <selection pane="bottomRight" activeCell="P37" sqref="P37"/>
      <selection pane="topLeft" activeCell="A1" sqref="A1"/>
    </sheetView>
  </sheetViews>
  <sheetFormatPr defaultColWidth="9.140625" defaultRowHeight="12.75"/>
  <cols>
    <col min="1" max="1" width="28.28125" style="3" customWidth="1"/>
    <col min="2" max="2" width="9.421875" style="3" bestFit="1" customWidth="1"/>
    <col min="3" max="3" width="9.28125" style="3" customWidth="1"/>
    <col min="4" max="4" width="9.8515625" style="3" customWidth="1"/>
    <col min="5" max="5" width="10.00390625" style="3" customWidth="1"/>
    <col min="6" max="10" width="10.140625" style="3" customWidth="1"/>
    <col min="11" max="13" width="12.00390625" style="3" customWidth="1"/>
    <col min="14" max="14" width="11.8515625" style="3" customWidth="1"/>
    <col min="15" max="15" width="10.28125" style="3" bestFit="1" customWidth="1"/>
    <col min="16" max="16384" width="12.00390625" style="3" customWidth="1"/>
  </cols>
  <sheetData>
    <row r="1" spans="1:8" ht="18.75">
      <c r="A1" s="121" t="s">
        <v>109</v>
      </c>
      <c r="B1" s="1"/>
      <c r="C1" s="1"/>
      <c r="D1" s="1"/>
      <c r="E1" s="1"/>
      <c r="F1" s="1"/>
      <c r="G1" s="1"/>
      <c r="H1" s="1"/>
    </row>
    <row r="2" spans="1:10" ht="12.75">
      <c r="A2" s="4" t="s">
        <v>121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5" ht="12.75">
      <c r="A4" s="62" t="s">
        <v>24</v>
      </c>
      <c r="B4" s="60">
        <v>2005</v>
      </c>
      <c r="C4" s="60">
        <v>2006</v>
      </c>
      <c r="D4" s="61">
        <v>2007</v>
      </c>
      <c r="E4" s="61">
        <v>2008</v>
      </c>
      <c r="F4" s="60">
        <v>2009</v>
      </c>
      <c r="G4" s="60">
        <v>2010</v>
      </c>
      <c r="H4" s="60">
        <v>2011</v>
      </c>
      <c r="I4" s="60">
        <v>2012</v>
      </c>
      <c r="J4" s="60">
        <v>2013</v>
      </c>
      <c r="K4" s="61">
        <v>2014</v>
      </c>
      <c r="L4" s="61">
        <v>2015</v>
      </c>
      <c r="M4" s="61">
        <v>2016</v>
      </c>
      <c r="N4" s="7" t="s">
        <v>25</v>
      </c>
      <c r="O4" s="7" t="s">
        <v>147</v>
      </c>
    </row>
    <row r="5" spans="1:15" ht="12.75">
      <c r="A5" s="6" t="s">
        <v>22</v>
      </c>
      <c r="B5" s="9">
        <f aca="true" t="shared" si="0" ref="B5:C8">B14+B21+B28+B35+B41</f>
        <v>3647051</v>
      </c>
      <c r="C5" s="9">
        <f t="shared" si="0"/>
        <v>3778450</v>
      </c>
      <c r="D5" s="9">
        <f aca="true" t="shared" si="1" ref="D5:M5">D14+D21+D28+D35+D41</f>
        <v>3984329.1686119987</v>
      </c>
      <c r="E5" s="9">
        <f t="shared" si="1"/>
        <v>4187419.809077934</v>
      </c>
      <c r="F5" s="9">
        <f t="shared" si="1"/>
        <v>4402906.101642728</v>
      </c>
      <c r="G5" s="9">
        <f t="shared" si="1"/>
        <v>4624438.253997579</v>
      </c>
      <c r="H5" s="9">
        <f t="shared" si="1"/>
        <v>4852115.958282944</v>
      </c>
      <c r="I5" s="9">
        <f t="shared" si="1"/>
        <v>5087202.714938019</v>
      </c>
      <c r="J5" s="9">
        <f t="shared" si="1"/>
        <v>5332180.978568821</v>
      </c>
      <c r="K5" s="9">
        <f t="shared" si="1"/>
        <v>5589454.364419294</v>
      </c>
      <c r="L5" s="9">
        <f t="shared" si="1"/>
        <v>5859837.950680363</v>
      </c>
      <c r="M5" s="9">
        <f t="shared" si="1"/>
        <v>6143723.015790075</v>
      </c>
      <c r="O5" s="2"/>
    </row>
    <row r="6" spans="1:15" ht="12.75">
      <c r="A6" s="7" t="s">
        <v>21</v>
      </c>
      <c r="B6" s="12">
        <f t="shared" si="0"/>
        <v>3567895</v>
      </c>
      <c r="C6" s="12">
        <f t="shared" si="0"/>
        <v>3692867.134</v>
      </c>
      <c r="D6" s="12">
        <f aca="true" t="shared" si="2" ref="D6:M6">D15+D22+D29+D36+D42</f>
        <v>3883972.7394832703</v>
      </c>
      <c r="E6" s="12">
        <f t="shared" si="2"/>
        <v>4086353.723813897</v>
      </c>
      <c r="F6" s="12">
        <f t="shared" si="2"/>
        <v>4301106.8964258</v>
      </c>
      <c r="G6" s="12">
        <f t="shared" si="2"/>
        <v>4521882.899465946</v>
      </c>
      <c r="H6" s="12">
        <f t="shared" si="2"/>
        <v>4749085.972032435</v>
      </c>
      <c r="I6" s="12">
        <f t="shared" si="2"/>
        <v>4983241.211044308</v>
      </c>
      <c r="J6" s="12">
        <f t="shared" si="2"/>
        <v>5227207.252742666</v>
      </c>
      <c r="K6" s="12">
        <f t="shared" si="2"/>
        <v>5482309.469142581</v>
      </c>
      <c r="L6" s="12">
        <f t="shared" si="2"/>
        <v>5749853.889050631</v>
      </c>
      <c r="M6" s="12">
        <f t="shared" si="2"/>
        <v>6030388.00628324</v>
      </c>
      <c r="O6" s="2"/>
    </row>
    <row r="7" spans="1:15" ht="12.75">
      <c r="A7" s="7" t="s">
        <v>20</v>
      </c>
      <c r="B7" s="12">
        <f t="shared" si="0"/>
        <v>79156</v>
      </c>
      <c r="C7" s="12">
        <f t="shared" si="0"/>
        <v>85582.86600000001</v>
      </c>
      <c r="D7" s="12">
        <f aca="true" t="shared" si="3" ref="D7:M7">D16+D23+D30+D37+D43</f>
        <v>100356.42912872882</v>
      </c>
      <c r="E7" s="12">
        <f t="shared" si="3"/>
        <v>101066.08526403714</v>
      </c>
      <c r="F7" s="12">
        <f t="shared" si="3"/>
        <v>101799.20521692742</v>
      </c>
      <c r="G7" s="12">
        <f t="shared" si="3"/>
        <v>102555.35453163386</v>
      </c>
      <c r="H7" s="12">
        <f t="shared" si="3"/>
        <v>103029.98625050746</v>
      </c>
      <c r="I7" s="12">
        <f t="shared" si="3"/>
        <v>103961.50389371073</v>
      </c>
      <c r="J7" s="12">
        <f t="shared" si="3"/>
        <v>104973.72582615471</v>
      </c>
      <c r="K7" s="12">
        <f t="shared" si="3"/>
        <v>107144.89527671224</v>
      </c>
      <c r="L7" s="12">
        <f t="shared" si="3"/>
        <v>109984.06162973202</v>
      </c>
      <c r="M7" s="12">
        <f t="shared" si="3"/>
        <v>113335.00950683374</v>
      </c>
      <c r="O7" s="2"/>
    </row>
    <row r="8" spans="1:15" ht="13.5" thickBot="1">
      <c r="A8" s="129" t="s">
        <v>123</v>
      </c>
      <c r="B8" s="114">
        <f t="shared" si="0"/>
        <v>12558.162178999999</v>
      </c>
      <c r="C8" s="114">
        <f t="shared" si="0"/>
        <v>12503.887920000001</v>
      </c>
      <c r="D8" s="114">
        <f aca="true" t="shared" si="4" ref="D8:M8">D17+D24+D31+D38+D44</f>
        <v>12545.642440450843</v>
      </c>
      <c r="E8" s="114">
        <f t="shared" si="4"/>
        <v>12576.473379818035</v>
      </c>
      <c r="F8" s="114">
        <f t="shared" si="4"/>
        <v>12613.921691537209</v>
      </c>
      <c r="G8" s="114">
        <f t="shared" si="4"/>
        <v>12633.473018940795</v>
      </c>
      <c r="H8" s="114">
        <f t="shared" si="4"/>
        <v>12637.082494769149</v>
      </c>
      <c r="I8" s="114">
        <f t="shared" si="4"/>
        <v>12626.855646588812</v>
      </c>
      <c r="J8" s="114">
        <f t="shared" si="4"/>
        <v>12611.515374318307</v>
      </c>
      <c r="K8" s="114">
        <f t="shared" si="4"/>
        <v>12593.91917965508</v>
      </c>
      <c r="L8" s="114">
        <f t="shared" si="4"/>
        <v>12576.322984991853</v>
      </c>
      <c r="M8" s="114">
        <f t="shared" si="4"/>
        <v>12558.576395502445</v>
      </c>
      <c r="O8" s="2"/>
    </row>
    <row r="9" spans="1:15" ht="13.5" thickBot="1">
      <c r="A9" s="117" t="s">
        <v>29</v>
      </c>
      <c r="B9" s="116"/>
      <c r="C9" s="116">
        <f>C8-B8</f>
        <v>-54.27425899999798</v>
      </c>
      <c r="D9" s="116">
        <f aca="true" t="shared" si="5" ref="D9:M9">D8-C8</f>
        <v>41.75452045084239</v>
      </c>
      <c r="E9" s="116">
        <f t="shared" si="5"/>
        <v>30.830939367191604</v>
      </c>
      <c r="F9" s="116">
        <f t="shared" si="5"/>
        <v>37.448311719173944</v>
      </c>
      <c r="G9" s="116">
        <f t="shared" si="5"/>
        <v>19.551327403585674</v>
      </c>
      <c r="H9" s="116">
        <f t="shared" si="5"/>
        <v>3.6094758283543342</v>
      </c>
      <c r="I9" s="116">
        <f t="shared" si="5"/>
        <v>-10.226848180336674</v>
      </c>
      <c r="J9" s="116">
        <f t="shared" si="5"/>
        <v>-15.340272270505011</v>
      </c>
      <c r="K9" s="116">
        <f t="shared" si="5"/>
        <v>-17.596194663226925</v>
      </c>
      <c r="L9" s="116">
        <f t="shared" si="5"/>
        <v>-17.596194663226925</v>
      </c>
      <c r="M9" s="116">
        <f t="shared" si="5"/>
        <v>-17.746589489408507</v>
      </c>
      <c r="O9" s="2"/>
    </row>
    <row r="10" spans="1:15" ht="12.75">
      <c r="A10" s="112" t="s">
        <v>0</v>
      </c>
      <c r="B10" s="113"/>
      <c r="C10" s="113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O10" s="2"/>
    </row>
    <row r="11" spans="1:15" ht="14.25">
      <c r="A11" s="55" t="s">
        <v>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2"/>
    </row>
    <row r="12" spans="1:15" ht="12.75">
      <c r="A12" s="7" t="s">
        <v>142</v>
      </c>
      <c r="B12" s="12">
        <v>14700</v>
      </c>
      <c r="C12" s="12">
        <v>14728</v>
      </c>
      <c r="D12" s="12">
        <v>14898</v>
      </c>
      <c r="E12" s="12">
        <v>15103</v>
      </c>
      <c r="F12" s="12">
        <v>15352</v>
      </c>
      <c r="G12" s="12">
        <v>15482</v>
      </c>
      <c r="H12" s="12">
        <v>15506</v>
      </c>
      <c r="I12" s="12">
        <v>15438</v>
      </c>
      <c r="J12" s="12">
        <v>15336</v>
      </c>
      <c r="K12" s="12">
        <v>15219</v>
      </c>
      <c r="L12" s="12">
        <v>15102</v>
      </c>
      <c r="M12" s="12">
        <v>14984</v>
      </c>
      <c r="O12" s="2"/>
    </row>
    <row r="13" spans="1:15" ht="12.75">
      <c r="A13" s="6" t="s">
        <v>28</v>
      </c>
      <c r="B13" s="9">
        <v>15834</v>
      </c>
      <c r="C13" s="9">
        <v>15640</v>
      </c>
      <c r="D13" s="9">
        <f aca="true" t="shared" si="6" ref="D13:M13">$C13*D12/$C12</f>
        <v>15820.526887561107</v>
      </c>
      <c r="E13" s="9">
        <f t="shared" si="6"/>
        <v>16038.221075502444</v>
      </c>
      <c r="F13" s="9">
        <f t="shared" si="6"/>
        <v>16302.639869636067</v>
      </c>
      <c r="G13" s="9">
        <f t="shared" si="6"/>
        <v>16440.689842476913</v>
      </c>
      <c r="H13" s="9">
        <f t="shared" si="6"/>
        <v>16466.175991309072</v>
      </c>
      <c r="I13" s="9">
        <f t="shared" si="6"/>
        <v>16393.96523628463</v>
      </c>
      <c r="J13" s="9">
        <f t="shared" si="6"/>
        <v>16285.649103747963</v>
      </c>
      <c r="K13" s="9">
        <f t="shared" si="6"/>
        <v>16161.4041281912</v>
      </c>
      <c r="L13" s="9">
        <f t="shared" si="6"/>
        <v>16037.159152634438</v>
      </c>
      <c r="M13" s="9">
        <f t="shared" si="6"/>
        <v>15911.852254209669</v>
      </c>
      <c r="O13" s="2"/>
    </row>
    <row r="14" spans="1:15" ht="12.75">
      <c r="A14" s="6" t="s">
        <v>22</v>
      </c>
      <c r="B14" s="118">
        <f>B15+B16</f>
        <v>530168</v>
      </c>
      <c r="C14" s="118">
        <f>C15+C16</f>
        <v>539235.92</v>
      </c>
      <c r="D14" s="118">
        <f aca="true" t="shared" si="7" ref="D14:M14">D15+D16</f>
        <v>573649.1408375882</v>
      </c>
      <c r="E14" s="118">
        <f t="shared" si="7"/>
        <v>610471.2449011352</v>
      </c>
      <c r="F14" s="118">
        <f t="shared" si="7"/>
        <v>651407.1958884307</v>
      </c>
      <c r="G14" s="118">
        <f t="shared" si="7"/>
        <v>689607.8628137329</v>
      </c>
      <c r="H14" s="118">
        <f t="shared" si="7"/>
        <v>725044.0409061378</v>
      </c>
      <c r="I14" s="118">
        <f t="shared" si="7"/>
        <v>757786.71983586</v>
      </c>
      <c r="J14" s="118">
        <f t="shared" si="7"/>
        <v>790244.0657070965</v>
      </c>
      <c r="K14" s="118">
        <f t="shared" si="7"/>
        <v>823247.1962064909</v>
      </c>
      <c r="L14" s="118">
        <f t="shared" si="7"/>
        <v>857581.4637140583</v>
      </c>
      <c r="M14" s="118">
        <f t="shared" si="7"/>
        <v>893238.0260275019</v>
      </c>
      <c r="N14" s="41">
        <v>33.284</v>
      </c>
      <c r="O14" s="131">
        <v>34.478</v>
      </c>
    </row>
    <row r="15" spans="1:15" ht="12.75">
      <c r="A15" s="13" t="s">
        <v>1</v>
      </c>
      <c r="B15" s="63">
        <v>524865</v>
      </c>
      <c r="C15" s="63">
        <f>C$13*$O15</f>
        <v>533198.88</v>
      </c>
      <c r="D15" s="63">
        <f>D$13*$O15*D47</f>
        <v>566321.0727832699</v>
      </c>
      <c r="E15" s="63">
        <f aca="true" t="shared" si="8" ref="E15:M15">E$13*$O15*E47</f>
        <v>602819.4737788973</v>
      </c>
      <c r="F15" s="63">
        <f t="shared" si="8"/>
        <v>643395.9338890495</v>
      </c>
      <c r="G15" s="63">
        <f t="shared" si="8"/>
        <v>681286.3888023564</v>
      </c>
      <c r="H15" s="63">
        <f t="shared" si="8"/>
        <v>716459.6358356678</v>
      </c>
      <c r="I15" s="63">
        <f t="shared" si="8"/>
        <v>748983.558037701</v>
      </c>
      <c r="J15" s="63">
        <f t="shared" si="8"/>
        <v>781236.7170857295</v>
      </c>
      <c r="K15" s="63">
        <f t="shared" si="8"/>
        <v>814040.4067027975</v>
      </c>
      <c r="L15" s="63">
        <f t="shared" si="8"/>
        <v>848171.3734888581</v>
      </c>
      <c r="M15" s="63">
        <f t="shared" si="8"/>
        <v>883621.3649433786</v>
      </c>
      <c r="N15" s="41">
        <v>32.895</v>
      </c>
      <c r="O15" s="131">
        <v>34.092</v>
      </c>
    </row>
    <row r="16" spans="1:15" ht="12.75">
      <c r="A16" s="13" t="s">
        <v>3</v>
      </c>
      <c r="B16" s="63">
        <v>5303</v>
      </c>
      <c r="C16" s="63">
        <f>C$13*$O16</f>
        <v>6037.04</v>
      </c>
      <c r="D16" s="63">
        <f>D$13*$O16*D46</f>
        <v>7328.068054318304</v>
      </c>
      <c r="E16" s="63">
        <f aca="true" t="shared" si="9" ref="E16:M16">E$13*$O16*E46</f>
        <v>7651.771122237914</v>
      </c>
      <c r="F16" s="63">
        <f t="shared" si="9"/>
        <v>8011.261999381206</v>
      </c>
      <c r="G16" s="63">
        <f t="shared" si="9"/>
        <v>8321.474011376526</v>
      </c>
      <c r="H16" s="63">
        <f t="shared" si="9"/>
        <v>8584.405070470002</v>
      </c>
      <c r="I16" s="63">
        <f t="shared" si="9"/>
        <v>8803.161798158995</v>
      </c>
      <c r="J16" s="63">
        <f t="shared" si="9"/>
        <v>9007.348621366973</v>
      </c>
      <c r="K16" s="63">
        <f t="shared" si="9"/>
        <v>9206.789503693366</v>
      </c>
      <c r="L16" s="63">
        <f t="shared" si="9"/>
        <v>9410.090225200114</v>
      </c>
      <c r="M16" s="63">
        <f t="shared" si="9"/>
        <v>9616.661084123325</v>
      </c>
      <c r="N16" s="41">
        <v>0.389</v>
      </c>
      <c r="O16" s="131">
        <v>0.386</v>
      </c>
    </row>
    <row r="17" spans="1:15" s="120" customFormat="1" ht="12.75">
      <c r="A17" s="119" t="s">
        <v>124</v>
      </c>
      <c r="B17" s="118">
        <f>B$13*$N17/1000</f>
        <v>2242.49025</v>
      </c>
      <c r="C17" s="118">
        <f>C$13*$O17/1000</f>
        <v>2198.8276</v>
      </c>
      <c r="D17" s="118">
        <f aca="true" t="shared" si="10" ref="D17:M17">D$13*$N17/1000</f>
        <v>2240.5821204508416</v>
      </c>
      <c r="E17" s="118">
        <f t="shared" si="10"/>
        <v>2271.4130598180336</v>
      </c>
      <c r="F17" s="118">
        <f t="shared" si="10"/>
        <v>2308.861371537208</v>
      </c>
      <c r="G17" s="118">
        <f t="shared" si="10"/>
        <v>2328.4126989407932</v>
      </c>
      <c r="H17" s="118">
        <f t="shared" si="10"/>
        <v>2332.022174769147</v>
      </c>
      <c r="I17" s="118">
        <f t="shared" si="10"/>
        <v>2321.7953265888104</v>
      </c>
      <c r="J17" s="118">
        <f t="shared" si="10"/>
        <v>2306.455054318305</v>
      </c>
      <c r="K17" s="118">
        <f t="shared" si="10"/>
        <v>2288.8588596550785</v>
      </c>
      <c r="L17" s="118">
        <f t="shared" si="10"/>
        <v>2271.2626649918525</v>
      </c>
      <c r="M17" s="118">
        <f t="shared" si="10"/>
        <v>2253.5160755024444</v>
      </c>
      <c r="N17" s="76">
        <v>141.625</v>
      </c>
      <c r="O17" s="131">
        <v>140.59</v>
      </c>
    </row>
    <row r="18" spans="1:15" ht="14.25">
      <c r="A18" s="59" t="s">
        <v>10</v>
      </c>
      <c r="B18" s="54"/>
      <c r="C18" s="54"/>
      <c r="D18" s="54"/>
      <c r="E18" s="54"/>
      <c r="F18" s="11"/>
      <c r="G18" s="11"/>
      <c r="H18" s="11"/>
      <c r="I18" s="11"/>
      <c r="J18" s="11"/>
      <c r="K18" s="11"/>
      <c r="L18" s="11"/>
      <c r="M18" s="11"/>
      <c r="O18" s="2"/>
    </row>
    <row r="19" spans="1:15" ht="12.75">
      <c r="A19" s="7" t="s">
        <v>143</v>
      </c>
      <c r="B19" s="12">
        <v>52786</v>
      </c>
      <c r="C19" s="12">
        <v>50871</v>
      </c>
      <c r="D19" s="12">
        <v>48742</v>
      </c>
      <c r="E19" s="12">
        <v>47029</v>
      </c>
      <c r="F19" s="12">
        <v>45427</v>
      </c>
      <c r="G19" s="12">
        <v>44751</v>
      </c>
      <c r="H19" s="12">
        <v>44621</v>
      </c>
      <c r="I19" s="12">
        <v>44850</v>
      </c>
      <c r="J19" s="12">
        <v>45028</v>
      </c>
      <c r="K19" s="12">
        <v>45259</v>
      </c>
      <c r="L19" s="12">
        <v>45470</v>
      </c>
      <c r="M19" s="12">
        <v>45670</v>
      </c>
      <c r="O19" s="2"/>
    </row>
    <row r="20" spans="1:15" ht="12.75">
      <c r="A20" s="6" t="s">
        <v>28</v>
      </c>
      <c r="B20" s="9">
        <v>53924</v>
      </c>
      <c r="C20" s="9">
        <v>52340</v>
      </c>
      <c r="D20" s="9">
        <f aca="true" t="shared" si="11" ref="D20:M20">$C20*D19/$C19</f>
        <v>50149.52094513574</v>
      </c>
      <c r="E20" s="9">
        <f t="shared" si="11"/>
        <v>48387.05470700399</v>
      </c>
      <c r="F20" s="9">
        <f t="shared" si="11"/>
        <v>46738.793811798474</v>
      </c>
      <c r="G20" s="9">
        <f t="shared" si="11"/>
        <v>46043.27298460813</v>
      </c>
      <c r="H20" s="9">
        <f t="shared" si="11"/>
        <v>45909.518979379216</v>
      </c>
      <c r="I20" s="9">
        <f t="shared" si="11"/>
        <v>46145.13180397476</v>
      </c>
      <c r="J20" s="9">
        <f t="shared" si="11"/>
        <v>46328.27190344204</v>
      </c>
      <c r="K20" s="9">
        <f t="shared" si="11"/>
        <v>46565.942481964186</v>
      </c>
      <c r="L20" s="9">
        <f t="shared" si="11"/>
        <v>46783.03552122034</v>
      </c>
      <c r="M20" s="9">
        <f t="shared" si="11"/>
        <v>46988.81091388021</v>
      </c>
      <c r="O20" s="2"/>
    </row>
    <row r="21" spans="1:15" ht="12.75">
      <c r="A21" s="6" t="s">
        <v>22</v>
      </c>
      <c r="B21" s="118">
        <f aca="true" t="shared" si="12" ref="B21:M21">B22+B23</f>
        <v>1936715</v>
      </c>
      <c r="C21" s="118">
        <f t="shared" si="12"/>
        <v>1984052.38</v>
      </c>
      <c r="D21" s="118">
        <f t="shared" si="12"/>
        <v>2088226.747727723</v>
      </c>
      <c r="E21" s="118">
        <f t="shared" si="12"/>
        <v>2189418.4241861994</v>
      </c>
      <c r="F21" s="118">
        <f t="shared" si="12"/>
        <v>2295752.9852293804</v>
      </c>
      <c r="G21" s="118">
        <f t="shared" si="12"/>
        <v>2408539.4717173795</v>
      </c>
      <c r="H21" s="118">
        <f t="shared" si="12"/>
        <v>2527644.9217100074</v>
      </c>
      <c r="I21" s="118">
        <f t="shared" si="12"/>
        <v>2653158.6107603675</v>
      </c>
      <c r="J21" s="118">
        <f t="shared" si="12"/>
        <v>2784844.1095778625</v>
      </c>
      <c r="K21" s="118">
        <f t="shared" si="12"/>
        <v>2923156.329764181</v>
      </c>
      <c r="L21" s="118">
        <f t="shared" si="12"/>
        <v>3068319.803866741</v>
      </c>
      <c r="M21" s="118">
        <f t="shared" si="12"/>
        <v>3220688.4682665365</v>
      </c>
      <c r="N21" s="41">
        <v>35.641</v>
      </c>
      <c r="O21" s="131">
        <v>37.907</v>
      </c>
    </row>
    <row r="22" spans="1:15" ht="12.75">
      <c r="A22" s="13" t="s">
        <v>1</v>
      </c>
      <c r="B22" s="63">
        <v>1894335</v>
      </c>
      <c r="C22" s="63">
        <f>C$20*$O22</f>
        <v>1934224.7</v>
      </c>
      <c r="D22" s="63">
        <f>$C22*D48</f>
        <v>2030935.935</v>
      </c>
      <c r="E22" s="63">
        <f>$C22*E48</f>
        <v>2132482.73175</v>
      </c>
      <c r="F22" s="63">
        <f aca="true" t="shared" si="13" ref="F22:M22">$C22*F48</f>
        <v>2239106.8683375004</v>
      </c>
      <c r="G22" s="63">
        <f t="shared" si="13"/>
        <v>2351062.2117543756</v>
      </c>
      <c r="H22" s="63">
        <f t="shared" si="13"/>
        <v>2468615.3223420945</v>
      </c>
      <c r="I22" s="63">
        <f t="shared" si="13"/>
        <v>2592046.0884591993</v>
      </c>
      <c r="J22" s="63">
        <f t="shared" si="13"/>
        <v>2721648.392882159</v>
      </c>
      <c r="K22" s="63">
        <f t="shared" si="13"/>
        <v>2857730.812526267</v>
      </c>
      <c r="L22" s="63">
        <f t="shared" si="13"/>
        <v>3000617.3531525806</v>
      </c>
      <c r="M22" s="63">
        <f t="shared" si="13"/>
        <v>3150648.22081021</v>
      </c>
      <c r="N22" s="41">
        <v>34.843</v>
      </c>
      <c r="O22" s="131">
        <v>36.955</v>
      </c>
    </row>
    <row r="23" spans="1:15" ht="12.75">
      <c r="A23" s="13" t="s">
        <v>3</v>
      </c>
      <c r="B23" s="63">
        <v>42380</v>
      </c>
      <c r="C23" s="63">
        <f>C$20*$O23</f>
        <v>49827.68</v>
      </c>
      <c r="D23" s="63">
        <f>D$20*$O23*D46</f>
        <v>57290.81272772306</v>
      </c>
      <c r="E23" s="63">
        <f aca="true" t="shared" si="14" ref="E23:M23">E$20*$O23*E46</f>
        <v>56935.692436199795</v>
      </c>
      <c r="F23" s="63">
        <f t="shared" si="14"/>
        <v>56646.116891880025</v>
      </c>
      <c r="G23" s="63">
        <f t="shared" si="14"/>
        <v>57477.259963003904</v>
      </c>
      <c r="H23" s="63">
        <f t="shared" si="14"/>
        <v>59029.599367912975</v>
      </c>
      <c r="I23" s="63">
        <f t="shared" si="14"/>
        <v>61112.52230116815</v>
      </c>
      <c r="J23" s="63">
        <f t="shared" si="14"/>
        <v>63195.71669570367</v>
      </c>
      <c r="K23" s="63">
        <f t="shared" si="14"/>
        <v>65425.5172379137</v>
      </c>
      <c r="L23" s="63">
        <f t="shared" si="14"/>
        <v>67702.45071416014</v>
      </c>
      <c r="M23" s="63">
        <f t="shared" si="14"/>
        <v>70040.24745632647</v>
      </c>
      <c r="N23" s="41">
        <v>0.798</v>
      </c>
      <c r="O23" s="131">
        <v>0.952</v>
      </c>
    </row>
    <row r="24" spans="1:15" s="120" customFormat="1" ht="12.75">
      <c r="A24" s="119" t="s">
        <v>124</v>
      </c>
      <c r="B24" s="118">
        <f>B$20*$N24/1000+32.1</f>
        <v>6577.071575999999</v>
      </c>
      <c r="C24" s="118">
        <f>C$20*$O24/1000</f>
        <v>6418.8205800000005</v>
      </c>
      <c r="D24" s="118">
        <f aca="true" t="shared" si="15" ref="D24:M24">C24</f>
        <v>6418.8205800000005</v>
      </c>
      <c r="E24" s="118">
        <f t="shared" si="15"/>
        <v>6418.8205800000005</v>
      </c>
      <c r="F24" s="118">
        <f t="shared" si="15"/>
        <v>6418.8205800000005</v>
      </c>
      <c r="G24" s="118">
        <f t="shared" si="15"/>
        <v>6418.8205800000005</v>
      </c>
      <c r="H24" s="118">
        <f t="shared" si="15"/>
        <v>6418.8205800000005</v>
      </c>
      <c r="I24" s="118">
        <f t="shared" si="15"/>
        <v>6418.8205800000005</v>
      </c>
      <c r="J24" s="118">
        <f t="shared" si="15"/>
        <v>6418.8205800000005</v>
      </c>
      <c r="K24" s="118">
        <f t="shared" si="15"/>
        <v>6418.8205800000005</v>
      </c>
      <c r="L24" s="118">
        <f t="shared" si="15"/>
        <v>6418.8205800000005</v>
      </c>
      <c r="M24" s="118">
        <f t="shared" si="15"/>
        <v>6418.8205800000005</v>
      </c>
      <c r="N24" s="76">
        <v>121.374</v>
      </c>
      <c r="O24" s="131">
        <v>122.637</v>
      </c>
    </row>
    <row r="25" spans="1:15" ht="14.25">
      <c r="A25" s="59" t="s">
        <v>11</v>
      </c>
      <c r="B25" s="54"/>
      <c r="C25" s="54"/>
      <c r="D25" s="54"/>
      <c r="E25" s="54"/>
      <c r="F25" s="11"/>
      <c r="G25" s="11"/>
      <c r="H25" s="11"/>
      <c r="I25" s="11"/>
      <c r="J25" s="11"/>
      <c r="K25" s="11"/>
      <c r="L25" s="11"/>
      <c r="M25" s="11"/>
      <c r="O25" s="132"/>
    </row>
    <row r="26" spans="1:15" ht="12.75">
      <c r="A26" s="7" t="s">
        <v>144</v>
      </c>
      <c r="B26" s="12">
        <v>27672</v>
      </c>
      <c r="C26" s="12">
        <v>27466</v>
      </c>
      <c r="D26" s="12">
        <v>27545</v>
      </c>
      <c r="E26" s="12">
        <v>27270</v>
      </c>
      <c r="F26" s="7">
        <v>26931</v>
      </c>
      <c r="G26" s="7">
        <v>25830</v>
      </c>
      <c r="H26" s="7">
        <v>24087</v>
      </c>
      <c r="I26" s="7">
        <v>22406</v>
      </c>
      <c r="J26" s="7">
        <v>20868</v>
      </c>
      <c r="K26" s="8">
        <v>20073</v>
      </c>
      <c r="L26" s="8">
        <v>19718</v>
      </c>
      <c r="M26" s="8">
        <v>19640</v>
      </c>
      <c r="O26" s="132"/>
    </row>
    <row r="27" spans="1:15" ht="12.75">
      <c r="A27" s="6" t="s">
        <v>28</v>
      </c>
      <c r="B27" s="9">
        <v>24170</v>
      </c>
      <c r="C27" s="9">
        <v>23914</v>
      </c>
      <c r="D27" s="9">
        <f aca="true" t="shared" si="16" ref="D27:M27">$C27*D26/$C26</f>
        <v>23982.783441345662</v>
      </c>
      <c r="E27" s="9">
        <f t="shared" si="16"/>
        <v>23743.347411344934</v>
      </c>
      <c r="F27" s="9">
        <f t="shared" si="16"/>
        <v>23448.188087089493</v>
      </c>
      <c r="G27" s="9">
        <f t="shared" si="16"/>
        <v>22489.57329061385</v>
      </c>
      <c r="H27" s="9">
        <f t="shared" si="16"/>
        <v>20971.984198645598</v>
      </c>
      <c r="I27" s="9">
        <f t="shared" si="16"/>
        <v>19508.377047986603</v>
      </c>
      <c r="J27" s="9">
        <f t="shared" si="16"/>
        <v>18169.276632927984</v>
      </c>
      <c r="K27" s="9">
        <f t="shared" si="16"/>
        <v>17477.088837107698</v>
      </c>
      <c r="L27" s="9">
        <f t="shared" si="16"/>
        <v>17167.998689288575</v>
      </c>
      <c r="M27" s="9">
        <f t="shared" si="16"/>
        <v>17100.08592441564</v>
      </c>
      <c r="O27" s="132"/>
    </row>
    <row r="28" spans="1:15" ht="12.75">
      <c r="A28" s="6" t="s">
        <v>22</v>
      </c>
      <c r="B28" s="118">
        <f aca="true" t="shared" si="17" ref="B28:M28">B29+B30</f>
        <v>1138970</v>
      </c>
      <c r="C28" s="118">
        <f t="shared" si="17"/>
        <v>1157772.3960000002</v>
      </c>
      <c r="D28" s="118">
        <f t="shared" si="17"/>
        <v>1220049.9053950193</v>
      </c>
      <c r="E28" s="118">
        <f t="shared" si="17"/>
        <v>1280010.0511009053</v>
      </c>
      <c r="F28" s="118">
        <f t="shared" si="17"/>
        <v>1342859.168067235</v>
      </c>
      <c r="G28" s="118">
        <f t="shared" si="17"/>
        <v>1407784.7023918615</v>
      </c>
      <c r="H28" s="118">
        <f t="shared" si="17"/>
        <v>1475017.130187753</v>
      </c>
      <c r="I28" s="118">
        <f t="shared" si="17"/>
        <v>1545655.3179272017</v>
      </c>
      <c r="J28" s="118">
        <f t="shared" si="17"/>
        <v>1619994.105366675</v>
      </c>
      <c r="K28" s="118">
        <f t="shared" si="17"/>
        <v>1699149.2844048839</v>
      </c>
      <c r="L28" s="118">
        <f t="shared" si="17"/>
        <v>1782927.820164848</v>
      </c>
      <c r="M28" s="118">
        <f t="shared" si="17"/>
        <v>1871322.7850930004</v>
      </c>
      <c r="N28" s="41">
        <v>46.65</v>
      </c>
      <c r="O28" s="131">
        <v>48.414</v>
      </c>
    </row>
    <row r="29" spans="1:15" ht="12.75">
      <c r="A29" s="13" t="s">
        <v>1</v>
      </c>
      <c r="B29" s="63">
        <v>1107929</v>
      </c>
      <c r="C29" s="63">
        <f>C$27*$O29</f>
        <v>1129171.252</v>
      </c>
      <c r="D29" s="63">
        <f>$C29*D49</f>
        <v>1185629.8146000002</v>
      </c>
      <c r="E29" s="63">
        <f aca="true" t="shared" si="18" ref="E29:M29">$C29*E49</f>
        <v>1244911.3053300001</v>
      </c>
      <c r="F29" s="63">
        <f t="shared" si="18"/>
        <v>1307156.8705965003</v>
      </c>
      <c r="G29" s="63">
        <f t="shared" si="18"/>
        <v>1372514.7141263254</v>
      </c>
      <c r="H29" s="63">
        <f t="shared" si="18"/>
        <v>1441140.4498326418</v>
      </c>
      <c r="I29" s="63">
        <f t="shared" si="18"/>
        <v>1513197.472324274</v>
      </c>
      <c r="J29" s="63">
        <f t="shared" si="18"/>
        <v>1588857.3459404877</v>
      </c>
      <c r="K29" s="63">
        <f t="shared" si="18"/>
        <v>1668300.2132375122</v>
      </c>
      <c r="L29" s="63">
        <f t="shared" si="18"/>
        <v>1751715.2238993878</v>
      </c>
      <c r="M29" s="63">
        <f t="shared" si="18"/>
        <v>1839300.985094357</v>
      </c>
      <c r="N29" s="41">
        <v>45.45</v>
      </c>
      <c r="O29" s="131">
        <v>47.218</v>
      </c>
    </row>
    <row r="30" spans="1:15" ht="12.75">
      <c r="A30" s="13" t="s">
        <v>3</v>
      </c>
      <c r="B30" s="63">
        <v>31041</v>
      </c>
      <c r="C30" s="63">
        <f>C$27*$O30</f>
        <v>28601.144</v>
      </c>
      <c r="D30" s="63">
        <f>D$27*$O30*D46</f>
        <v>34420.09079501929</v>
      </c>
      <c r="E30" s="63">
        <f aca="true" t="shared" si="19" ref="E30:M30">E$27*$O30*E46</f>
        <v>35098.745770905116</v>
      </c>
      <c r="F30" s="63">
        <f t="shared" si="19"/>
        <v>35702.29747073462</v>
      </c>
      <c r="G30" s="63">
        <f>G$27*$O30*G46</f>
        <v>35269.98826553591</v>
      </c>
      <c r="H30" s="63">
        <f t="shared" si="19"/>
        <v>33876.6803551112</v>
      </c>
      <c r="I30" s="63">
        <f t="shared" si="19"/>
        <v>32457.845602927733</v>
      </c>
      <c r="J30" s="63">
        <f t="shared" si="19"/>
        <v>31136.759426187306</v>
      </c>
      <c r="K30" s="63">
        <f t="shared" si="19"/>
        <v>30849.071167371745</v>
      </c>
      <c r="L30" s="63">
        <f t="shared" si="19"/>
        <v>31212.59626546023</v>
      </c>
      <c r="M30" s="63">
        <f t="shared" si="19"/>
        <v>32021.79999864327</v>
      </c>
      <c r="N30" s="41">
        <v>1.2</v>
      </c>
      <c r="O30" s="131">
        <v>1.196</v>
      </c>
    </row>
    <row r="31" spans="1:15" s="120" customFormat="1" ht="12.75">
      <c r="A31" s="119" t="s">
        <v>124</v>
      </c>
      <c r="B31" s="118">
        <f>B$27*$N31/1000</f>
        <v>3628.78712</v>
      </c>
      <c r="C31" s="118">
        <f>C$27*$O31/1000</f>
        <v>3562.6838060000005</v>
      </c>
      <c r="D31" s="118">
        <f aca="true" t="shared" si="20" ref="D31:M31">C31</f>
        <v>3562.6838060000005</v>
      </c>
      <c r="E31" s="118">
        <f t="shared" si="20"/>
        <v>3562.6838060000005</v>
      </c>
      <c r="F31" s="118">
        <f t="shared" si="20"/>
        <v>3562.6838060000005</v>
      </c>
      <c r="G31" s="118">
        <f t="shared" si="20"/>
        <v>3562.6838060000005</v>
      </c>
      <c r="H31" s="118">
        <f t="shared" si="20"/>
        <v>3562.6838060000005</v>
      </c>
      <c r="I31" s="118">
        <f t="shared" si="20"/>
        <v>3562.6838060000005</v>
      </c>
      <c r="J31" s="118">
        <f t="shared" si="20"/>
        <v>3562.6838060000005</v>
      </c>
      <c r="K31" s="118">
        <f t="shared" si="20"/>
        <v>3562.6838060000005</v>
      </c>
      <c r="L31" s="118">
        <f t="shared" si="20"/>
        <v>3562.6838060000005</v>
      </c>
      <c r="M31" s="118">
        <f t="shared" si="20"/>
        <v>3562.6838060000005</v>
      </c>
      <c r="N31" s="76">
        <v>150.136</v>
      </c>
      <c r="O31" s="131">
        <v>148.979</v>
      </c>
    </row>
    <row r="32" spans="1:15" ht="14.25">
      <c r="A32" s="59" t="s">
        <v>12</v>
      </c>
      <c r="B32" s="54"/>
      <c r="C32" s="54"/>
      <c r="D32" s="54"/>
      <c r="E32" s="54"/>
      <c r="F32" s="11"/>
      <c r="G32" s="11"/>
      <c r="H32" s="11"/>
      <c r="I32" s="11"/>
      <c r="J32" s="11"/>
      <c r="K32" s="11"/>
      <c r="L32" s="11"/>
      <c r="M32" s="11"/>
      <c r="O32" s="132"/>
    </row>
    <row r="33" spans="1:15" ht="12.75">
      <c r="A33" s="7" t="s">
        <v>145</v>
      </c>
      <c r="B33" s="12">
        <v>1147</v>
      </c>
      <c r="C33" s="12">
        <v>1109</v>
      </c>
      <c r="D33" s="12">
        <v>1077</v>
      </c>
      <c r="E33" s="14">
        <v>1108</v>
      </c>
      <c r="F33" s="7">
        <v>1132</v>
      </c>
      <c r="G33" s="7">
        <v>1137</v>
      </c>
      <c r="H33" s="7">
        <v>1147</v>
      </c>
      <c r="I33" s="7">
        <v>1150</v>
      </c>
      <c r="J33" s="7">
        <v>1148</v>
      </c>
      <c r="K33" s="7">
        <v>1126</v>
      </c>
      <c r="L33" s="7">
        <v>1066</v>
      </c>
      <c r="M33" s="7">
        <v>1010</v>
      </c>
      <c r="O33" s="132"/>
    </row>
    <row r="34" spans="1:15" ht="12.75">
      <c r="A34" s="6" t="s">
        <v>28</v>
      </c>
      <c r="B34" s="9">
        <v>939</v>
      </c>
      <c r="C34" s="9">
        <v>948</v>
      </c>
      <c r="D34" s="9">
        <f>$C34*D33/$C33</f>
        <v>920.6456266907123</v>
      </c>
      <c r="E34" s="9">
        <f aca="true" t="shared" si="21" ref="E34:M34">$C34*E33/$C33</f>
        <v>947.1451758340847</v>
      </c>
      <c r="F34" s="9">
        <f t="shared" si="21"/>
        <v>967.6609558160505</v>
      </c>
      <c r="G34" s="9">
        <f t="shared" si="21"/>
        <v>971.9350766456267</v>
      </c>
      <c r="H34" s="9">
        <f t="shared" si="21"/>
        <v>980.4833183047791</v>
      </c>
      <c r="I34" s="9">
        <f t="shared" si="21"/>
        <v>983.0477908025248</v>
      </c>
      <c r="J34" s="9">
        <f t="shared" si="21"/>
        <v>981.3381424706943</v>
      </c>
      <c r="K34" s="9">
        <f t="shared" si="21"/>
        <v>962.5320108205591</v>
      </c>
      <c r="L34" s="9">
        <f t="shared" si="21"/>
        <v>911.2425608656447</v>
      </c>
      <c r="M34" s="9">
        <f t="shared" si="21"/>
        <v>863.3724075743913</v>
      </c>
      <c r="O34" s="132"/>
    </row>
    <row r="35" spans="1:15" ht="12.75">
      <c r="A35" s="6" t="s">
        <v>22</v>
      </c>
      <c r="B35" s="118">
        <f aca="true" t="shared" si="22" ref="B35:M35">B36+B37</f>
        <v>41198</v>
      </c>
      <c r="C35" s="118">
        <f t="shared" si="22"/>
        <v>39671.904</v>
      </c>
      <c r="D35" s="118">
        <f t="shared" si="22"/>
        <v>41731.95215166817</v>
      </c>
      <c r="E35" s="118">
        <f t="shared" si="22"/>
        <v>43825.99966469432</v>
      </c>
      <c r="F35" s="118">
        <f t="shared" si="22"/>
        <v>46019.190303431584</v>
      </c>
      <c r="G35" s="118">
        <f t="shared" si="22"/>
        <v>48306.84529060252</v>
      </c>
      <c r="H35" s="118">
        <f t="shared" si="22"/>
        <v>50712.44063814134</v>
      </c>
      <c r="I35" s="118">
        <f t="shared" si="22"/>
        <v>53232.04332990808</v>
      </c>
      <c r="J35" s="118">
        <f t="shared" si="22"/>
        <v>55872.81486648741</v>
      </c>
      <c r="K35" s="118">
        <f t="shared" si="22"/>
        <v>58627.39726436587</v>
      </c>
      <c r="L35" s="118">
        <f t="shared" si="22"/>
        <v>61484.40935295374</v>
      </c>
      <c r="M35" s="118">
        <f t="shared" si="22"/>
        <v>64486.87350986049</v>
      </c>
      <c r="N35" s="41">
        <v>39.88</v>
      </c>
      <c r="O35" s="131">
        <v>41.848</v>
      </c>
    </row>
    <row r="36" spans="1:15" ht="12.75">
      <c r="A36" s="13" t="s">
        <v>1</v>
      </c>
      <c r="B36" s="63">
        <v>40766</v>
      </c>
      <c r="C36" s="63">
        <f>C$34*$O36</f>
        <v>39009.252</v>
      </c>
      <c r="D36" s="63">
        <f>$C36*D50</f>
        <v>40959.7146</v>
      </c>
      <c r="E36" s="63">
        <f aca="true" t="shared" si="23" ref="E36:M36">$C36*E50</f>
        <v>43007.70033</v>
      </c>
      <c r="F36" s="63">
        <f t="shared" si="23"/>
        <v>45158.085346500004</v>
      </c>
      <c r="G36" s="63">
        <f t="shared" si="23"/>
        <v>47415.98961382501</v>
      </c>
      <c r="H36" s="63">
        <f t="shared" si="23"/>
        <v>49786.789094516265</v>
      </c>
      <c r="I36" s="63">
        <f t="shared" si="23"/>
        <v>52276.12854924208</v>
      </c>
      <c r="J36" s="63">
        <f t="shared" si="23"/>
        <v>54889.934976704186</v>
      </c>
      <c r="K36" s="63">
        <f t="shared" si="23"/>
        <v>57634.4317255394</v>
      </c>
      <c r="L36" s="63">
        <f t="shared" si="23"/>
        <v>60516.153311816364</v>
      </c>
      <c r="M36" s="63">
        <f t="shared" si="23"/>
        <v>63541.96097740719</v>
      </c>
      <c r="N36" s="41">
        <v>39.181</v>
      </c>
      <c r="O36" s="131">
        <v>41.149</v>
      </c>
    </row>
    <row r="37" spans="1:15" ht="12.75">
      <c r="A37" s="15" t="s">
        <v>3</v>
      </c>
      <c r="B37" s="63">
        <v>432</v>
      </c>
      <c r="C37" s="63">
        <f>C$34*$O37</f>
        <v>662.6519999999999</v>
      </c>
      <c r="D37" s="63">
        <f>D$34*$O37*D46</f>
        <v>772.2375516681694</v>
      </c>
      <c r="E37" s="63">
        <f aca="true" t="shared" si="24" ref="E37:M37">E$34*$O37*E46</f>
        <v>818.2993346943191</v>
      </c>
      <c r="F37" s="63">
        <f t="shared" si="24"/>
        <v>861.1049569315779</v>
      </c>
      <c r="G37" s="63">
        <f t="shared" si="24"/>
        <v>890.8556767775091</v>
      </c>
      <c r="H37" s="63">
        <f t="shared" si="24"/>
        <v>925.6515436250811</v>
      </c>
      <c r="I37" s="63">
        <f t="shared" si="24"/>
        <v>955.9147806660056</v>
      </c>
      <c r="J37" s="63">
        <f t="shared" si="24"/>
        <v>982.8798897832274</v>
      </c>
      <c r="K37" s="63">
        <f t="shared" si="24"/>
        <v>992.9655388264737</v>
      </c>
      <c r="L37" s="63">
        <f t="shared" si="24"/>
        <v>968.2560411373814</v>
      </c>
      <c r="M37" s="63">
        <f t="shared" si="24"/>
        <v>944.9125324533001</v>
      </c>
      <c r="N37" s="41">
        <v>0.699</v>
      </c>
      <c r="O37" s="131">
        <v>0.699</v>
      </c>
    </row>
    <row r="38" spans="1:15" s="120" customFormat="1" ht="12.75">
      <c r="A38" s="119" t="s">
        <v>124</v>
      </c>
      <c r="B38" s="118">
        <f>B$34*$N38/1000</f>
        <v>109.81323300000001</v>
      </c>
      <c r="C38" s="118">
        <f>C$34*$O38/1000</f>
        <v>111.421284</v>
      </c>
      <c r="D38" s="118">
        <f aca="true" t="shared" si="25" ref="D38:M38">C38</f>
        <v>111.421284</v>
      </c>
      <c r="E38" s="118">
        <f t="shared" si="25"/>
        <v>111.421284</v>
      </c>
      <c r="F38" s="118">
        <f t="shared" si="25"/>
        <v>111.421284</v>
      </c>
      <c r="G38" s="118">
        <f t="shared" si="25"/>
        <v>111.421284</v>
      </c>
      <c r="H38" s="118">
        <f t="shared" si="25"/>
        <v>111.421284</v>
      </c>
      <c r="I38" s="118">
        <f t="shared" si="25"/>
        <v>111.421284</v>
      </c>
      <c r="J38" s="118">
        <f t="shared" si="25"/>
        <v>111.421284</v>
      </c>
      <c r="K38" s="118">
        <f t="shared" si="25"/>
        <v>111.421284</v>
      </c>
      <c r="L38" s="118">
        <f t="shared" si="25"/>
        <v>111.421284</v>
      </c>
      <c r="M38" s="118">
        <f t="shared" si="25"/>
        <v>111.421284</v>
      </c>
      <c r="N38" s="76">
        <v>116.947</v>
      </c>
      <c r="O38" s="131">
        <v>117.533</v>
      </c>
    </row>
    <row r="39" spans="1:15" s="120" customFormat="1" ht="14.25">
      <c r="A39" s="59" t="s">
        <v>148</v>
      </c>
      <c r="B39" s="54"/>
      <c r="C39" s="54"/>
      <c r="D39" s="54"/>
      <c r="E39" s="54"/>
      <c r="F39" s="11"/>
      <c r="G39" s="11"/>
      <c r="H39" s="11"/>
      <c r="I39" s="11"/>
      <c r="J39" s="11"/>
      <c r="K39" s="11"/>
      <c r="L39" s="11"/>
      <c r="M39" s="11"/>
      <c r="N39" s="170"/>
      <c r="O39" s="171"/>
    </row>
    <row r="40" spans="1:15" s="120" customFormat="1" ht="12.75">
      <c r="A40" s="7" t="s">
        <v>149</v>
      </c>
      <c r="B40" s="12">
        <v>0</v>
      </c>
      <c r="C40" s="12">
        <v>325</v>
      </c>
      <c r="D40" s="12">
        <v>325</v>
      </c>
      <c r="E40" s="12">
        <v>325</v>
      </c>
      <c r="F40" s="12">
        <v>325</v>
      </c>
      <c r="G40" s="12">
        <v>325</v>
      </c>
      <c r="H40" s="12">
        <v>325</v>
      </c>
      <c r="I40" s="12">
        <v>325</v>
      </c>
      <c r="J40" s="12">
        <v>325</v>
      </c>
      <c r="K40" s="12">
        <v>325</v>
      </c>
      <c r="L40" s="12">
        <v>325</v>
      </c>
      <c r="M40" s="12">
        <v>325</v>
      </c>
      <c r="N40" s="125"/>
      <c r="O40" s="169"/>
    </row>
    <row r="41" spans="1:15" s="120" customFormat="1" ht="12.75">
      <c r="A41" s="6" t="s">
        <v>22</v>
      </c>
      <c r="B41" s="12">
        <v>0</v>
      </c>
      <c r="C41" s="118">
        <f>C$40*$O41</f>
        <v>57717.4</v>
      </c>
      <c r="D41" s="118">
        <f aca="true" t="shared" si="26" ref="D41:M41">D42+D43</f>
        <v>60671.4225</v>
      </c>
      <c r="E41" s="118">
        <f t="shared" si="26"/>
        <v>63694.089224999996</v>
      </c>
      <c r="F41" s="118">
        <f t="shared" si="26"/>
        <v>66867.56215425</v>
      </c>
      <c r="G41" s="118">
        <f t="shared" si="26"/>
        <v>70199.3717840025</v>
      </c>
      <c r="H41" s="118">
        <f t="shared" si="26"/>
        <v>73697.42484090384</v>
      </c>
      <c r="I41" s="118">
        <f t="shared" si="26"/>
        <v>77370.02308468128</v>
      </c>
      <c r="J41" s="118">
        <f t="shared" si="26"/>
        <v>81225.88305069954</v>
      </c>
      <c r="K41" s="118">
        <f t="shared" si="26"/>
        <v>85274.15677937225</v>
      </c>
      <c r="L41" s="118">
        <f t="shared" si="26"/>
        <v>89524.45358176272</v>
      </c>
      <c r="M41" s="118">
        <f t="shared" si="26"/>
        <v>93986.86289317538</v>
      </c>
      <c r="N41" s="125"/>
      <c r="O41" s="131">
        <v>177.592</v>
      </c>
    </row>
    <row r="42" spans="1:15" s="120" customFormat="1" ht="12.75">
      <c r="A42" s="13" t="s">
        <v>1</v>
      </c>
      <c r="B42" s="12">
        <v>0</v>
      </c>
      <c r="C42" s="63">
        <f>C$40*$O42</f>
        <v>57263.049999999996</v>
      </c>
      <c r="D42" s="63">
        <f>$C42*D51</f>
        <v>60126.2025</v>
      </c>
      <c r="E42" s="63">
        <f>$C42*E51</f>
        <v>63132.512624999996</v>
      </c>
      <c r="F42" s="63">
        <f aca="true" t="shared" si="27" ref="F42:M42">$C42*F51</f>
        <v>66289.13825625001</v>
      </c>
      <c r="G42" s="63">
        <f t="shared" si="27"/>
        <v>69603.59516906251</v>
      </c>
      <c r="H42" s="63">
        <f t="shared" si="27"/>
        <v>73083.77492751564</v>
      </c>
      <c r="I42" s="63">
        <f t="shared" si="27"/>
        <v>76737.96367389143</v>
      </c>
      <c r="J42" s="63">
        <f t="shared" si="27"/>
        <v>80574.861857586</v>
      </c>
      <c r="K42" s="63">
        <f t="shared" si="27"/>
        <v>84603.6049504653</v>
      </c>
      <c r="L42" s="63">
        <f t="shared" si="27"/>
        <v>88833.78519798856</v>
      </c>
      <c r="M42" s="63">
        <f t="shared" si="27"/>
        <v>93275.47445788799</v>
      </c>
      <c r="N42" s="125"/>
      <c r="O42" s="131">
        <v>176.194</v>
      </c>
    </row>
    <row r="43" spans="1:15" s="120" customFormat="1" ht="12.75">
      <c r="A43" s="13" t="s">
        <v>3</v>
      </c>
      <c r="B43" s="12">
        <v>0</v>
      </c>
      <c r="C43" s="63">
        <f>C$40*$O43</f>
        <v>454.34999999999997</v>
      </c>
      <c r="D43" s="63">
        <f>D$40*$O43*D46</f>
        <v>545.2199999999999</v>
      </c>
      <c r="E43" s="63">
        <f aca="true" t="shared" si="28" ref="E43:M43">E$40*$O43*E46</f>
        <v>561.5766</v>
      </c>
      <c r="F43" s="63">
        <f t="shared" si="28"/>
        <v>578.423898</v>
      </c>
      <c r="G43" s="63">
        <f t="shared" si="28"/>
        <v>595.77661494</v>
      </c>
      <c r="H43" s="63">
        <f t="shared" si="28"/>
        <v>613.6499133882</v>
      </c>
      <c r="I43" s="63">
        <f t="shared" si="28"/>
        <v>632.0594107898461</v>
      </c>
      <c r="J43" s="63">
        <f t="shared" si="28"/>
        <v>651.0211931135414</v>
      </c>
      <c r="K43" s="63">
        <f t="shared" si="28"/>
        <v>670.5518289069477</v>
      </c>
      <c r="L43" s="63">
        <f t="shared" si="28"/>
        <v>690.6683837741562</v>
      </c>
      <c r="M43" s="63">
        <f t="shared" si="28"/>
        <v>711.3884352873808</v>
      </c>
      <c r="N43" s="125"/>
      <c r="O43" s="131">
        <v>1.398</v>
      </c>
    </row>
    <row r="44" spans="1:15" s="120" customFormat="1" ht="12.75">
      <c r="A44" s="119" t="s">
        <v>23</v>
      </c>
      <c r="B44" s="12">
        <v>0</v>
      </c>
      <c r="C44" s="118">
        <f>C$40*$O44/1000</f>
        <v>212.13465</v>
      </c>
      <c r="D44" s="118">
        <f aca="true" t="shared" si="29" ref="D44:M44">D$40*$O44/1000</f>
        <v>212.13465</v>
      </c>
      <c r="E44" s="118">
        <f t="shared" si="29"/>
        <v>212.13465</v>
      </c>
      <c r="F44" s="118">
        <f t="shared" si="29"/>
        <v>212.13465</v>
      </c>
      <c r="G44" s="118">
        <f t="shared" si="29"/>
        <v>212.13465</v>
      </c>
      <c r="H44" s="118">
        <f t="shared" si="29"/>
        <v>212.13465</v>
      </c>
      <c r="I44" s="118">
        <f t="shared" si="29"/>
        <v>212.13465</v>
      </c>
      <c r="J44" s="118">
        <f t="shared" si="29"/>
        <v>212.13465</v>
      </c>
      <c r="K44" s="118">
        <f t="shared" si="29"/>
        <v>212.13465</v>
      </c>
      <c r="L44" s="118">
        <f t="shared" si="29"/>
        <v>212.13465</v>
      </c>
      <c r="M44" s="118">
        <f t="shared" si="29"/>
        <v>212.13465</v>
      </c>
      <c r="N44" s="125"/>
      <c r="O44" s="131">
        <v>652.722</v>
      </c>
    </row>
    <row r="45" spans="1:15" s="120" customFormat="1" ht="12.75">
      <c r="A45" s="31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5"/>
      <c r="O45" s="2"/>
    </row>
    <row r="46" spans="1:15" ht="12.75">
      <c r="A46" s="44" t="s">
        <v>153</v>
      </c>
      <c r="B46" s="123"/>
      <c r="C46" s="123">
        <v>1</v>
      </c>
      <c r="D46" s="123">
        <v>1.2</v>
      </c>
      <c r="E46" s="123">
        <f aca="true" t="shared" si="30" ref="E46:M46">1.03*D46</f>
        <v>1.236</v>
      </c>
      <c r="F46" s="123">
        <f t="shared" si="30"/>
        <v>1.27308</v>
      </c>
      <c r="G46" s="123">
        <f t="shared" si="30"/>
        <v>1.3112724</v>
      </c>
      <c r="H46" s="123">
        <f t="shared" si="30"/>
        <v>1.3506105720000001</v>
      </c>
      <c r="I46" s="123">
        <f t="shared" si="30"/>
        <v>1.3911288891600002</v>
      </c>
      <c r="J46" s="123">
        <f t="shared" si="30"/>
        <v>1.4328627558348002</v>
      </c>
      <c r="K46" s="123">
        <f t="shared" si="30"/>
        <v>1.4758486385098442</v>
      </c>
      <c r="L46" s="123">
        <f t="shared" si="30"/>
        <v>1.5201240976651396</v>
      </c>
      <c r="M46" s="123">
        <f t="shared" si="30"/>
        <v>1.5657278205950937</v>
      </c>
      <c r="O46" s="2"/>
    </row>
    <row r="47" spans="1:13" ht="12.75">
      <c r="A47" s="44" t="s">
        <v>154</v>
      </c>
      <c r="B47" s="126"/>
      <c r="C47" s="123">
        <v>1</v>
      </c>
      <c r="D47" s="123">
        <f aca="true" t="shared" si="31" ref="D47:M47">1.05*C47</f>
        <v>1.05</v>
      </c>
      <c r="E47" s="123">
        <f t="shared" si="31"/>
        <v>1.1025</v>
      </c>
      <c r="F47" s="123">
        <f t="shared" si="31"/>
        <v>1.1576250000000001</v>
      </c>
      <c r="G47" s="123">
        <f t="shared" si="31"/>
        <v>1.2155062500000002</v>
      </c>
      <c r="H47" s="123">
        <f t="shared" si="31"/>
        <v>1.2762815625000004</v>
      </c>
      <c r="I47" s="123">
        <f t="shared" si="31"/>
        <v>1.3400956406250004</v>
      </c>
      <c r="J47" s="123">
        <f t="shared" si="31"/>
        <v>1.4071004226562505</v>
      </c>
      <c r="K47" s="123">
        <f t="shared" si="31"/>
        <v>1.477455443789063</v>
      </c>
      <c r="L47" s="123">
        <f t="shared" si="31"/>
        <v>1.5513282159785162</v>
      </c>
      <c r="M47" s="123">
        <f t="shared" si="31"/>
        <v>1.628894626777442</v>
      </c>
    </row>
    <row r="48" spans="1:13" ht="12.75">
      <c r="A48" s="44" t="s">
        <v>110</v>
      </c>
      <c r="B48" s="126"/>
      <c r="C48" s="123">
        <v>1</v>
      </c>
      <c r="D48" s="123">
        <f aca="true" t="shared" si="32" ref="D48:M48">1.05*C48</f>
        <v>1.05</v>
      </c>
      <c r="E48" s="123">
        <f t="shared" si="32"/>
        <v>1.1025</v>
      </c>
      <c r="F48" s="123">
        <f t="shared" si="32"/>
        <v>1.1576250000000001</v>
      </c>
      <c r="G48" s="123">
        <f t="shared" si="32"/>
        <v>1.2155062500000002</v>
      </c>
      <c r="H48" s="123">
        <f t="shared" si="32"/>
        <v>1.2762815625000004</v>
      </c>
      <c r="I48" s="123">
        <f t="shared" si="32"/>
        <v>1.3400956406250004</v>
      </c>
      <c r="J48" s="123">
        <f t="shared" si="32"/>
        <v>1.4071004226562505</v>
      </c>
      <c r="K48" s="123">
        <f t="shared" si="32"/>
        <v>1.477455443789063</v>
      </c>
      <c r="L48" s="123">
        <f t="shared" si="32"/>
        <v>1.5513282159785162</v>
      </c>
      <c r="M48" s="123">
        <f t="shared" si="32"/>
        <v>1.628894626777442</v>
      </c>
    </row>
    <row r="49" spans="1:13" ht="12.75">
      <c r="A49" s="44" t="s">
        <v>112</v>
      </c>
      <c r="B49" s="126"/>
      <c r="C49" s="123">
        <v>1</v>
      </c>
      <c r="D49" s="123">
        <f aca="true" t="shared" si="33" ref="D49:M49">1.05*C49</f>
        <v>1.05</v>
      </c>
      <c r="E49" s="123">
        <f t="shared" si="33"/>
        <v>1.1025</v>
      </c>
      <c r="F49" s="123">
        <f t="shared" si="33"/>
        <v>1.1576250000000001</v>
      </c>
      <c r="G49" s="123">
        <f t="shared" si="33"/>
        <v>1.2155062500000002</v>
      </c>
      <c r="H49" s="123">
        <f t="shared" si="33"/>
        <v>1.2762815625000004</v>
      </c>
      <c r="I49" s="123">
        <f t="shared" si="33"/>
        <v>1.3400956406250004</v>
      </c>
      <c r="J49" s="123">
        <f t="shared" si="33"/>
        <v>1.4071004226562505</v>
      </c>
      <c r="K49" s="123">
        <f t="shared" si="33"/>
        <v>1.477455443789063</v>
      </c>
      <c r="L49" s="123">
        <f t="shared" si="33"/>
        <v>1.5513282159785162</v>
      </c>
      <c r="M49" s="123">
        <f t="shared" si="33"/>
        <v>1.628894626777442</v>
      </c>
    </row>
    <row r="50" spans="1:13" ht="12.75">
      <c r="A50" s="44" t="s">
        <v>111</v>
      </c>
      <c r="B50" s="126"/>
      <c r="C50" s="123">
        <v>1</v>
      </c>
      <c r="D50" s="123">
        <f aca="true" t="shared" si="34" ref="D50:M51">1.05*C50</f>
        <v>1.05</v>
      </c>
      <c r="E50" s="123">
        <f t="shared" si="34"/>
        <v>1.1025</v>
      </c>
      <c r="F50" s="123">
        <f t="shared" si="34"/>
        <v>1.1576250000000001</v>
      </c>
      <c r="G50" s="123">
        <f t="shared" si="34"/>
        <v>1.2155062500000002</v>
      </c>
      <c r="H50" s="123">
        <f t="shared" si="34"/>
        <v>1.2762815625000004</v>
      </c>
      <c r="I50" s="123">
        <f t="shared" si="34"/>
        <v>1.3400956406250004</v>
      </c>
      <c r="J50" s="123">
        <f t="shared" si="34"/>
        <v>1.4071004226562505</v>
      </c>
      <c r="K50" s="123">
        <f t="shared" si="34"/>
        <v>1.477455443789063</v>
      </c>
      <c r="L50" s="123">
        <f t="shared" si="34"/>
        <v>1.5513282159785162</v>
      </c>
      <c r="M50" s="123">
        <f t="shared" si="34"/>
        <v>1.628894626777442</v>
      </c>
    </row>
    <row r="51" spans="1:13" ht="12.75">
      <c r="A51" s="44" t="s">
        <v>150</v>
      </c>
      <c r="B51" s="126"/>
      <c r="C51" s="123">
        <v>1</v>
      </c>
      <c r="D51" s="123">
        <f t="shared" si="34"/>
        <v>1.05</v>
      </c>
      <c r="E51" s="123">
        <f t="shared" si="34"/>
        <v>1.1025</v>
      </c>
      <c r="F51" s="123">
        <f t="shared" si="34"/>
        <v>1.1576250000000001</v>
      </c>
      <c r="G51" s="123">
        <f t="shared" si="34"/>
        <v>1.2155062500000002</v>
      </c>
      <c r="H51" s="123">
        <f t="shared" si="34"/>
        <v>1.2762815625000004</v>
      </c>
      <c r="I51" s="123">
        <f t="shared" si="34"/>
        <v>1.3400956406250004</v>
      </c>
      <c r="J51" s="123">
        <f t="shared" si="34"/>
        <v>1.4071004226562505</v>
      </c>
      <c r="K51" s="123">
        <f t="shared" si="34"/>
        <v>1.477455443789063</v>
      </c>
      <c r="L51" s="123">
        <f t="shared" si="34"/>
        <v>1.5513282159785162</v>
      </c>
      <c r="M51" s="123">
        <f t="shared" si="34"/>
        <v>1.628894626777442</v>
      </c>
    </row>
    <row r="52" spans="2:13" ht="12.75">
      <c r="B52" s="17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</row>
    <row r="53" spans="1:10" ht="12.75">
      <c r="A53" s="31" t="s">
        <v>113</v>
      </c>
      <c r="B53" s="17"/>
      <c r="C53" s="17"/>
      <c r="D53" s="17"/>
      <c r="E53" s="17"/>
      <c r="F53" s="16"/>
      <c r="G53" s="16"/>
      <c r="H53" s="16"/>
      <c r="I53" s="16"/>
      <c r="J53" s="16"/>
    </row>
    <row r="54" spans="1:10" ht="12.75">
      <c r="A54" s="16" t="s">
        <v>157</v>
      </c>
      <c r="B54" s="17"/>
      <c r="C54" s="17"/>
      <c r="D54" s="17"/>
      <c r="E54" s="17"/>
      <c r="F54" s="16"/>
      <c r="G54" s="16"/>
      <c r="H54" s="16"/>
      <c r="I54" s="16"/>
      <c r="J54" s="16"/>
    </row>
    <row r="55" spans="1:10" ht="15" customHeight="1">
      <c r="A55" s="16" t="s">
        <v>114</v>
      </c>
      <c r="B55" s="17"/>
      <c r="C55" s="17"/>
      <c r="D55" s="17"/>
      <c r="E55" s="17"/>
      <c r="F55" s="16"/>
      <c r="G55" s="16"/>
      <c r="H55" s="16"/>
      <c r="I55" s="16"/>
      <c r="J55" s="16"/>
    </row>
    <row r="56" spans="1:10" ht="12.75">
      <c r="A56" s="16" t="s">
        <v>115</v>
      </c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 t="s">
        <v>116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16" t="s">
        <v>158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 t="s">
        <v>159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</sheetData>
  <printOptions/>
  <pageMargins left="0.75" right="0.75" top="1" bottom="1" header="0.4921259845" footer="0.4921259845"/>
  <pageSetup fitToHeight="0" fitToWidth="1" horizontalDpi="600" verticalDpi="600" orientation="landscape" paperSize="9" scale="74" r:id="rId1"/>
  <headerFooter alignWithMargins="0">
    <oddHeader>&amp;LPříloha č.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="90" zoomScaleNormal="90" workbookViewId="0" topLeftCell="A1">
      <pane xSplit="1" ySplit="4" topLeftCell="B17" activePane="bottomRight" state="split"/>
      <selection pane="topLeft" activeCell="B21" sqref="B21"/>
      <selection pane="topRight" activeCell="B21" sqref="B21"/>
      <selection pane="bottomLeft" activeCell="B21" sqref="B21"/>
      <selection pane="bottomRight" activeCell="B21" sqref="B21"/>
      <selection pane="topLeft" activeCell="A1" sqref="A1"/>
    </sheetView>
  </sheetViews>
  <sheetFormatPr defaultColWidth="9.140625" defaultRowHeight="12.75"/>
  <cols>
    <col min="1" max="1" width="28.28125" style="2" customWidth="1"/>
    <col min="2" max="2" width="9.140625" style="2" customWidth="1"/>
    <col min="3" max="4" width="9.8515625" style="2" customWidth="1"/>
    <col min="5" max="5" width="10.00390625" style="2" customWidth="1"/>
    <col min="6" max="10" width="10.140625" style="2" customWidth="1"/>
    <col min="11" max="13" width="12.00390625" style="2" customWidth="1"/>
    <col min="14" max="14" width="9.7109375" style="2" customWidth="1"/>
    <col min="15" max="15" width="9.8515625" style="2" customWidth="1"/>
    <col min="16" max="16384" width="12.00390625" style="2" customWidth="1"/>
  </cols>
  <sheetData>
    <row r="1" ht="18.75">
      <c r="A1" s="121" t="s">
        <v>152</v>
      </c>
    </row>
    <row r="2" spans="1:8" ht="12.75">
      <c r="A2" s="4" t="s">
        <v>122</v>
      </c>
      <c r="B2" s="1"/>
      <c r="C2" s="1"/>
      <c r="D2" s="1"/>
      <c r="E2" s="1"/>
      <c r="F2" s="1"/>
      <c r="G2" s="1"/>
      <c r="H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5" ht="12.75">
      <c r="A4" s="62" t="s">
        <v>24</v>
      </c>
      <c r="B4" s="60">
        <v>2005</v>
      </c>
      <c r="C4" s="60">
        <v>2006</v>
      </c>
      <c r="D4" s="61">
        <v>2007</v>
      </c>
      <c r="E4" s="61">
        <v>2008</v>
      </c>
      <c r="F4" s="60">
        <v>2009</v>
      </c>
      <c r="G4" s="60">
        <v>2010</v>
      </c>
      <c r="H4" s="60">
        <v>2011</v>
      </c>
      <c r="I4" s="60">
        <v>2012</v>
      </c>
      <c r="J4" s="60">
        <v>2013</v>
      </c>
      <c r="K4" s="61">
        <v>2014</v>
      </c>
      <c r="L4" s="61">
        <v>2015</v>
      </c>
      <c r="M4" s="61">
        <v>2016</v>
      </c>
      <c r="N4" s="7" t="s">
        <v>25</v>
      </c>
      <c r="O4" s="7" t="s">
        <v>147</v>
      </c>
    </row>
    <row r="5" spans="1:13" ht="12.75">
      <c r="A5" s="6" t="s">
        <v>22</v>
      </c>
      <c r="B5" s="9">
        <f aca="true" t="shared" si="0" ref="B5:C8">B14+B21+B28+B35+B41</f>
        <v>3613901.96</v>
      </c>
      <c r="C5" s="9">
        <f t="shared" si="0"/>
        <v>3778449.9999999995</v>
      </c>
      <c r="D5" s="9">
        <f aca="true" t="shared" si="1" ref="D5:L5">D14+D21+D28+D35+D41</f>
        <v>3590186.2577499766</v>
      </c>
      <c r="E5" s="9">
        <f t="shared" si="1"/>
        <v>3524392.7559446604</v>
      </c>
      <c r="F5" s="9">
        <f t="shared" si="1"/>
        <v>3461332.4213989624</v>
      </c>
      <c r="G5" s="9">
        <f t="shared" si="1"/>
        <v>3395071.5372125823</v>
      </c>
      <c r="H5" s="9">
        <f t="shared" si="1"/>
        <v>3318068.290670055</v>
      </c>
      <c r="I5" s="9">
        <f t="shared" si="1"/>
        <v>3253224.3263928127</v>
      </c>
      <c r="J5" s="9">
        <f t="shared" si="1"/>
        <v>3191114.3462022888</v>
      </c>
      <c r="K5" s="9">
        <f t="shared" si="1"/>
        <v>3161002.8660800126</v>
      </c>
      <c r="L5" s="9">
        <f t="shared" si="1"/>
        <v>3147345.9095066665</v>
      </c>
      <c r="M5" s="9">
        <f>M14+M21+M28+M35+M41</f>
        <v>3145068.4202590776</v>
      </c>
    </row>
    <row r="6" spans="1:13" ht="12.75">
      <c r="A6" s="7" t="s">
        <v>21</v>
      </c>
      <c r="B6" s="12">
        <f t="shared" si="0"/>
        <v>3535050.821</v>
      </c>
      <c r="C6" s="12">
        <f t="shared" si="0"/>
        <v>3692867.134</v>
      </c>
      <c r="D6" s="12">
        <f aca="true" t="shared" si="2" ref="D6:M6">D15+D22+D29+D36+D42</f>
        <v>3620194.71460438</v>
      </c>
      <c r="E6" s="12">
        <f t="shared" si="2"/>
        <v>3552269.144512643</v>
      </c>
      <c r="F6" s="12">
        <f t="shared" si="2"/>
        <v>3487279.5995177114</v>
      </c>
      <c r="G6" s="12">
        <f t="shared" si="2"/>
        <v>3421195.029361012</v>
      </c>
      <c r="H6" s="12">
        <f t="shared" si="2"/>
        <v>3345815.2537352387</v>
      </c>
      <c r="I6" s="12">
        <f t="shared" si="2"/>
        <v>3283057.439646867</v>
      </c>
      <c r="J6" s="12">
        <f t="shared" si="2"/>
        <v>3222832.674714796</v>
      </c>
      <c r="K6" s="12">
        <f t="shared" si="2"/>
        <v>3193922.454383087</v>
      </c>
      <c r="L6" s="12">
        <f t="shared" si="2"/>
        <v>3181004.239766199</v>
      </c>
      <c r="M6" s="12">
        <f t="shared" si="2"/>
        <v>3179160.1927512954</v>
      </c>
    </row>
    <row r="7" spans="1:13" ht="12.75">
      <c r="A7" s="7" t="s">
        <v>20</v>
      </c>
      <c r="B7" s="12">
        <f t="shared" si="0"/>
        <v>78851.139</v>
      </c>
      <c r="C7" s="12">
        <f t="shared" si="0"/>
        <v>85582.86600000001</v>
      </c>
      <c r="D7" s="12">
        <f aca="true" t="shared" si="3" ref="D7:M7">D16+D23+D30+D37+D43</f>
        <v>83630.35760727403</v>
      </c>
      <c r="E7" s="12">
        <f t="shared" si="3"/>
        <v>81768.67739808832</v>
      </c>
      <c r="F7" s="12">
        <f t="shared" si="3"/>
        <v>79962.92865878611</v>
      </c>
      <c r="G7" s="12">
        <f t="shared" si="3"/>
        <v>78210.5644346925</v>
      </c>
      <c r="H7" s="12">
        <f t="shared" si="3"/>
        <v>76284.00694208949</v>
      </c>
      <c r="I7" s="12">
        <f t="shared" si="3"/>
        <v>74731.75541375279</v>
      </c>
      <c r="J7" s="12">
        <f t="shared" si="3"/>
        <v>73261.53562069242</v>
      </c>
      <c r="K7" s="12">
        <f t="shared" si="3"/>
        <v>72598.8373610561</v>
      </c>
      <c r="L7" s="12">
        <f t="shared" si="3"/>
        <v>72352.02823155289</v>
      </c>
      <c r="M7" s="12">
        <f t="shared" si="3"/>
        <v>72384.8730386345</v>
      </c>
    </row>
    <row r="8" spans="1:13" ht="13.5" thickBot="1">
      <c r="A8" s="115" t="s">
        <v>26</v>
      </c>
      <c r="B8" s="114">
        <f t="shared" si="0"/>
        <v>12526.062179</v>
      </c>
      <c r="C8" s="114">
        <f t="shared" si="0"/>
        <v>12503.887920000001</v>
      </c>
      <c r="D8" s="114">
        <f aca="true" t="shared" si="4" ref="D8:M8">D17+D24+D31+D38+D44</f>
        <v>12267.666662020903</v>
      </c>
      <c r="E8" s="114">
        <f t="shared" si="4"/>
        <v>12049.572347053801</v>
      </c>
      <c r="F8" s="114">
        <f t="shared" si="4"/>
        <v>11843.047954116098</v>
      </c>
      <c r="G8" s="114">
        <f t="shared" si="4"/>
        <v>11634.848688592967</v>
      </c>
      <c r="H8" s="114">
        <f t="shared" si="4"/>
        <v>11396.94439147261</v>
      </c>
      <c r="I8" s="114">
        <f t="shared" si="4"/>
        <v>11197.941811841698</v>
      </c>
      <c r="J8" s="114">
        <f t="shared" si="4"/>
        <v>11005.474618314334</v>
      </c>
      <c r="K8" s="114">
        <f t="shared" si="4"/>
        <v>10911.822437234283</v>
      </c>
      <c r="L8" s="114">
        <f t="shared" si="4"/>
        <v>10868.90233112252</v>
      </c>
      <c r="M8" s="114">
        <f t="shared" si="4"/>
        <v>10860.777212577825</v>
      </c>
    </row>
    <row r="9" spans="1:13" ht="13.5" thickBot="1">
      <c r="A9" s="117" t="s">
        <v>29</v>
      </c>
      <c r="B9" s="116"/>
      <c r="C9" s="116">
        <f aca="true" t="shared" si="5" ref="C9:M9">C8-B8</f>
        <v>-22.174258999999438</v>
      </c>
      <c r="D9" s="116">
        <f t="shared" si="5"/>
        <v>-236.22125797909757</v>
      </c>
      <c r="E9" s="116">
        <f t="shared" si="5"/>
        <v>-218.09431496710204</v>
      </c>
      <c r="F9" s="116">
        <f t="shared" si="5"/>
        <v>-206.52439293770294</v>
      </c>
      <c r="G9" s="116">
        <f t="shared" si="5"/>
        <v>-208.19926552313154</v>
      </c>
      <c r="H9" s="116">
        <f t="shared" si="5"/>
        <v>-237.9042971203562</v>
      </c>
      <c r="I9" s="116">
        <f t="shared" si="5"/>
        <v>-199.0025796309128</v>
      </c>
      <c r="J9" s="116">
        <f t="shared" si="5"/>
        <v>-192.46719352736363</v>
      </c>
      <c r="K9" s="116">
        <f t="shared" si="5"/>
        <v>-93.65218108005138</v>
      </c>
      <c r="L9" s="116">
        <f t="shared" si="5"/>
        <v>-42.920106111763744</v>
      </c>
      <c r="M9" s="116">
        <f t="shared" si="5"/>
        <v>-8.125118544694487</v>
      </c>
    </row>
    <row r="10" spans="1:13" ht="12.75">
      <c r="A10" s="112" t="s">
        <v>0</v>
      </c>
      <c r="B10" s="113"/>
      <c r="C10" s="113"/>
      <c r="D10" s="112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1:13" ht="14.25">
      <c r="A11" s="55" t="s">
        <v>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.75">
      <c r="A12" s="7" t="s">
        <v>142</v>
      </c>
      <c r="B12" s="12">
        <v>14700</v>
      </c>
      <c r="C12" s="12">
        <v>14728</v>
      </c>
      <c r="D12" s="12">
        <v>14898</v>
      </c>
      <c r="E12" s="12">
        <v>15103</v>
      </c>
      <c r="F12" s="12">
        <v>15352</v>
      </c>
      <c r="G12" s="12">
        <v>15482</v>
      </c>
      <c r="H12" s="12">
        <v>15506</v>
      </c>
      <c r="I12" s="12">
        <v>15438</v>
      </c>
      <c r="J12" s="12">
        <v>15336</v>
      </c>
      <c r="K12" s="12">
        <v>15219</v>
      </c>
      <c r="L12" s="12">
        <v>15102</v>
      </c>
      <c r="M12" s="12">
        <v>14984</v>
      </c>
    </row>
    <row r="13" spans="1:13" ht="12.75">
      <c r="A13" s="6" t="s">
        <v>28</v>
      </c>
      <c r="B13" s="9">
        <v>15834</v>
      </c>
      <c r="C13" s="9">
        <v>15640</v>
      </c>
      <c r="D13" s="9">
        <f aca="true" t="shared" si="6" ref="D13:M13">$C13*D12/$C12</f>
        <v>15820.526887561107</v>
      </c>
      <c r="E13" s="9">
        <f t="shared" si="6"/>
        <v>16038.221075502444</v>
      </c>
      <c r="F13" s="9">
        <f t="shared" si="6"/>
        <v>16302.639869636067</v>
      </c>
      <c r="G13" s="9">
        <f t="shared" si="6"/>
        <v>16440.689842476913</v>
      </c>
      <c r="H13" s="9">
        <f t="shared" si="6"/>
        <v>16466.175991309072</v>
      </c>
      <c r="I13" s="9">
        <f t="shared" si="6"/>
        <v>16393.96523628463</v>
      </c>
      <c r="J13" s="9">
        <f t="shared" si="6"/>
        <v>16285.649103747963</v>
      </c>
      <c r="K13" s="9">
        <f t="shared" si="6"/>
        <v>16161.4041281912</v>
      </c>
      <c r="L13" s="9">
        <f t="shared" si="6"/>
        <v>16037.159152634438</v>
      </c>
      <c r="M13" s="9">
        <f t="shared" si="6"/>
        <v>15911.852254209669</v>
      </c>
    </row>
    <row r="14" spans="1:15" ht="12.75">
      <c r="A14" s="6" t="s">
        <v>22</v>
      </c>
      <c r="B14" s="118">
        <f>B$13*$N14</f>
        <v>527018.856</v>
      </c>
      <c r="C14" s="118">
        <f>C$13*$O14</f>
        <v>539235.92</v>
      </c>
      <c r="D14" s="118">
        <f aca="true" t="shared" si="7" ref="D14:M16">D$13*$O14</f>
        <v>545460.1260293319</v>
      </c>
      <c r="E14" s="118">
        <f t="shared" si="7"/>
        <v>552965.7862411733</v>
      </c>
      <c r="F14" s="118">
        <f t="shared" si="7"/>
        <v>562082.4174253123</v>
      </c>
      <c r="G14" s="118">
        <f t="shared" si="7"/>
        <v>566842.1043889191</v>
      </c>
      <c r="H14" s="118">
        <f t="shared" si="7"/>
        <v>567720.8158283542</v>
      </c>
      <c r="I14" s="118">
        <f t="shared" si="7"/>
        <v>565231.1334166215</v>
      </c>
      <c r="J14" s="118">
        <f t="shared" si="7"/>
        <v>561496.6097990223</v>
      </c>
      <c r="K14" s="118">
        <f t="shared" si="7"/>
        <v>557212.8915317762</v>
      </c>
      <c r="L14" s="118">
        <f t="shared" si="7"/>
        <v>552929.1732645301</v>
      </c>
      <c r="M14" s="118">
        <f t="shared" si="7"/>
        <v>548608.842020641</v>
      </c>
      <c r="N14" s="49">
        <v>33.284</v>
      </c>
      <c r="O14" s="131">
        <v>34.478</v>
      </c>
    </row>
    <row r="15" spans="1:15" ht="12.75">
      <c r="A15" s="13" t="s">
        <v>1</v>
      </c>
      <c r="B15" s="63">
        <f>B$13*$N15</f>
        <v>520859.43000000005</v>
      </c>
      <c r="C15" s="63">
        <f>C$13*$O15</f>
        <v>533198.88</v>
      </c>
      <c r="D15" s="63">
        <f t="shared" si="7"/>
        <v>539353.4026507332</v>
      </c>
      <c r="E15" s="63">
        <f t="shared" si="7"/>
        <v>546775.0329060293</v>
      </c>
      <c r="F15" s="63">
        <f t="shared" si="7"/>
        <v>555789.5984356328</v>
      </c>
      <c r="G15" s="63">
        <f t="shared" si="7"/>
        <v>560495.9981097229</v>
      </c>
      <c r="H15" s="63">
        <f t="shared" si="7"/>
        <v>561364.8718957088</v>
      </c>
      <c r="I15" s="63">
        <f t="shared" si="7"/>
        <v>558903.0628354155</v>
      </c>
      <c r="J15" s="63">
        <f t="shared" si="7"/>
        <v>555210.3492449755</v>
      </c>
      <c r="K15" s="63">
        <f t="shared" si="7"/>
        <v>550974.5895382944</v>
      </c>
      <c r="L15" s="63">
        <f t="shared" si="7"/>
        <v>546738.8298316132</v>
      </c>
      <c r="M15" s="63">
        <f t="shared" si="7"/>
        <v>542466.8670505161</v>
      </c>
      <c r="N15" s="49">
        <v>32.895</v>
      </c>
      <c r="O15" s="131">
        <v>34.092</v>
      </c>
    </row>
    <row r="16" spans="1:15" ht="12.75">
      <c r="A16" s="13" t="s">
        <v>3</v>
      </c>
      <c r="B16" s="63">
        <f>B$13*$N16</f>
        <v>6159.426</v>
      </c>
      <c r="C16" s="63">
        <f>C$13*$O16</f>
        <v>6037.04</v>
      </c>
      <c r="D16" s="63">
        <f t="shared" si="7"/>
        <v>6106.723378598587</v>
      </c>
      <c r="E16" s="63">
        <f t="shared" si="7"/>
        <v>6190.753335143943</v>
      </c>
      <c r="F16" s="63">
        <f t="shared" si="7"/>
        <v>6292.818989679522</v>
      </c>
      <c r="G16" s="63">
        <f t="shared" si="7"/>
        <v>6346.1062791960885</v>
      </c>
      <c r="H16" s="63">
        <f t="shared" si="7"/>
        <v>6355.943932645302</v>
      </c>
      <c r="I16" s="63">
        <f t="shared" si="7"/>
        <v>6328.070581205867</v>
      </c>
      <c r="J16" s="63">
        <f t="shared" si="7"/>
        <v>6286.260554046714</v>
      </c>
      <c r="K16" s="63">
        <f t="shared" si="7"/>
        <v>6238.301993481803</v>
      </c>
      <c r="L16" s="63">
        <f t="shared" si="7"/>
        <v>6190.343432916893</v>
      </c>
      <c r="M16" s="63">
        <f t="shared" si="7"/>
        <v>6141.974970124932</v>
      </c>
      <c r="N16" s="49">
        <v>0.389</v>
      </c>
      <c r="O16" s="131">
        <v>0.386</v>
      </c>
    </row>
    <row r="17" spans="1:15" s="120" customFormat="1" ht="12.75">
      <c r="A17" s="119" t="s">
        <v>23</v>
      </c>
      <c r="B17" s="118">
        <f>B$13*$N17/1000</f>
        <v>2242.49025</v>
      </c>
      <c r="C17" s="118">
        <f>C$13*$O17/1000</f>
        <v>2198.8276</v>
      </c>
      <c r="D17" s="118">
        <f aca="true" t="shared" si="8" ref="D17:M17">D$13*$O17/1000</f>
        <v>2224.207875122216</v>
      </c>
      <c r="E17" s="118">
        <f t="shared" si="8"/>
        <v>2254.8135010048886</v>
      </c>
      <c r="F17" s="118">
        <f t="shared" si="8"/>
        <v>2291.988139272135</v>
      </c>
      <c r="G17" s="118">
        <f t="shared" si="8"/>
        <v>2311.396584953829</v>
      </c>
      <c r="H17" s="118">
        <f t="shared" si="8"/>
        <v>2314.9796826181428</v>
      </c>
      <c r="I17" s="118">
        <f t="shared" si="8"/>
        <v>2304.8275725692556</v>
      </c>
      <c r="J17" s="118">
        <f t="shared" si="8"/>
        <v>2289.5994074959262</v>
      </c>
      <c r="K17" s="118">
        <f t="shared" si="8"/>
        <v>2272.131806382401</v>
      </c>
      <c r="L17" s="118">
        <f t="shared" si="8"/>
        <v>2254.664205268876</v>
      </c>
      <c r="M17" s="118">
        <f t="shared" si="8"/>
        <v>2237.0473084193377</v>
      </c>
      <c r="N17" s="76">
        <v>141.625</v>
      </c>
      <c r="O17" s="131">
        <v>140.59</v>
      </c>
    </row>
    <row r="18" spans="1:13" ht="14.25">
      <c r="A18" s="59" t="s">
        <v>10</v>
      </c>
      <c r="B18" s="54"/>
      <c r="C18" s="54"/>
      <c r="D18" s="54"/>
      <c r="E18" s="54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7" t="s">
        <v>143</v>
      </c>
      <c r="B19" s="12">
        <v>52786</v>
      </c>
      <c r="C19" s="12">
        <v>50871</v>
      </c>
      <c r="D19" s="12">
        <v>48742</v>
      </c>
      <c r="E19" s="12">
        <v>47029</v>
      </c>
      <c r="F19" s="12">
        <v>45427</v>
      </c>
      <c r="G19" s="12">
        <v>44751</v>
      </c>
      <c r="H19" s="12">
        <v>44621</v>
      </c>
      <c r="I19" s="12">
        <v>44850</v>
      </c>
      <c r="J19" s="12">
        <v>45028</v>
      </c>
      <c r="K19" s="12">
        <v>45259</v>
      </c>
      <c r="L19" s="12">
        <v>45470</v>
      </c>
      <c r="M19" s="12">
        <v>45670</v>
      </c>
    </row>
    <row r="20" spans="1:13" ht="12.75">
      <c r="A20" s="6" t="s">
        <v>28</v>
      </c>
      <c r="B20" s="9">
        <v>53924</v>
      </c>
      <c r="C20" s="9">
        <v>52340</v>
      </c>
      <c r="D20" s="9">
        <f aca="true" t="shared" si="9" ref="D20:M20">$C20*D19/$C19</f>
        <v>50149.52094513574</v>
      </c>
      <c r="E20" s="9">
        <f t="shared" si="9"/>
        <v>48387.05470700399</v>
      </c>
      <c r="F20" s="9">
        <f t="shared" si="9"/>
        <v>46738.793811798474</v>
      </c>
      <c r="G20" s="9">
        <f t="shared" si="9"/>
        <v>46043.27298460813</v>
      </c>
      <c r="H20" s="9">
        <f t="shared" si="9"/>
        <v>45909.518979379216</v>
      </c>
      <c r="I20" s="9">
        <f t="shared" si="9"/>
        <v>46145.13180397476</v>
      </c>
      <c r="J20" s="9">
        <f t="shared" si="9"/>
        <v>46328.27190344204</v>
      </c>
      <c r="K20" s="9">
        <f t="shared" si="9"/>
        <v>46565.942481964186</v>
      </c>
      <c r="L20" s="9">
        <f t="shared" si="9"/>
        <v>46783.03552122034</v>
      </c>
      <c r="M20" s="9">
        <f t="shared" si="9"/>
        <v>46988.81091388021</v>
      </c>
    </row>
    <row r="21" spans="1:15" ht="12.75">
      <c r="A21" s="6" t="s">
        <v>22</v>
      </c>
      <c r="B21" s="118">
        <f>B$20*$N21</f>
        <v>1921905.284</v>
      </c>
      <c r="C21" s="118">
        <f>C$20*$O21</f>
        <v>1984052.38</v>
      </c>
      <c r="D21" s="118">
        <f aca="true" t="shared" si="10" ref="D21:M21">D$20*$N21</f>
        <v>1787379.0760055827</v>
      </c>
      <c r="E21" s="118">
        <f t="shared" si="10"/>
        <v>1724563.0168123292</v>
      </c>
      <c r="F21" s="118">
        <f t="shared" si="10"/>
        <v>1665817.3502463093</v>
      </c>
      <c r="G21" s="118">
        <f t="shared" si="10"/>
        <v>1641028.2924444182</v>
      </c>
      <c r="H21" s="118">
        <f t="shared" si="10"/>
        <v>1636261.1659440545</v>
      </c>
      <c r="I21" s="118">
        <f t="shared" si="10"/>
        <v>1644658.6426254641</v>
      </c>
      <c r="J21" s="118">
        <f t="shared" si="10"/>
        <v>1651185.9389105774</v>
      </c>
      <c r="K21" s="118">
        <f t="shared" si="10"/>
        <v>1659656.7559996855</v>
      </c>
      <c r="L21" s="118">
        <f t="shared" si="10"/>
        <v>1667394.169011814</v>
      </c>
      <c r="M21" s="118">
        <f t="shared" si="10"/>
        <v>1674728.2097816046</v>
      </c>
      <c r="N21" s="49">
        <v>35.641</v>
      </c>
      <c r="O21" s="131">
        <v>37.907</v>
      </c>
    </row>
    <row r="22" spans="1:15" ht="12.75">
      <c r="A22" s="13" t="s">
        <v>1</v>
      </c>
      <c r="B22" s="63">
        <f>B$20*$N22</f>
        <v>1878873.9320000003</v>
      </c>
      <c r="C22" s="63">
        <f>C$20*$O22</f>
        <v>1934224.7</v>
      </c>
      <c r="D22" s="63">
        <f aca="true" t="shared" si="11" ref="D22:M23">D$20*$O22</f>
        <v>1853275.5465274912</v>
      </c>
      <c r="E22" s="63">
        <f t="shared" si="11"/>
        <v>1788143.6066973323</v>
      </c>
      <c r="F22" s="63">
        <f t="shared" si="11"/>
        <v>1727232.1253150126</v>
      </c>
      <c r="G22" s="63">
        <f t="shared" si="11"/>
        <v>1701529.1531461934</v>
      </c>
      <c r="H22" s="63">
        <f t="shared" si="11"/>
        <v>1696586.2738829588</v>
      </c>
      <c r="I22" s="63">
        <f t="shared" si="11"/>
        <v>1705293.345815887</v>
      </c>
      <c r="J22" s="63">
        <f t="shared" si="11"/>
        <v>1712061.2881917004</v>
      </c>
      <c r="K22" s="63">
        <f t="shared" si="11"/>
        <v>1720844.4044209865</v>
      </c>
      <c r="L22" s="63">
        <f t="shared" si="11"/>
        <v>1728867.0776866977</v>
      </c>
      <c r="M22" s="63">
        <f t="shared" si="11"/>
        <v>1736471.5073224432</v>
      </c>
      <c r="N22" s="49">
        <v>34.843</v>
      </c>
      <c r="O22" s="131">
        <v>36.955</v>
      </c>
    </row>
    <row r="23" spans="1:15" ht="12.75">
      <c r="A23" s="13" t="s">
        <v>3</v>
      </c>
      <c r="B23" s="63">
        <f>B$20*$N23</f>
        <v>43031.352</v>
      </c>
      <c r="C23" s="63">
        <f>C$20*$O23</f>
        <v>49827.68</v>
      </c>
      <c r="D23" s="63">
        <f t="shared" si="11"/>
        <v>47742.34393976922</v>
      </c>
      <c r="E23" s="63">
        <f t="shared" si="11"/>
        <v>46064.4760810678</v>
      </c>
      <c r="F23" s="63">
        <f t="shared" si="11"/>
        <v>44495.33170883214</v>
      </c>
      <c r="G23" s="63">
        <f t="shared" si="11"/>
        <v>43833.19588134693</v>
      </c>
      <c r="H23" s="63">
        <f t="shared" si="11"/>
        <v>43705.86206836901</v>
      </c>
      <c r="I23" s="63">
        <f t="shared" si="11"/>
        <v>43930.16547738397</v>
      </c>
      <c r="J23" s="63">
        <f t="shared" si="11"/>
        <v>44104.51485207682</v>
      </c>
      <c r="K23" s="63">
        <f t="shared" si="11"/>
        <v>44330.77724282991</v>
      </c>
      <c r="L23" s="63">
        <f t="shared" si="11"/>
        <v>44537.44981620176</v>
      </c>
      <c r="M23" s="63">
        <f t="shared" si="11"/>
        <v>44733.34799001396</v>
      </c>
      <c r="N23" s="49">
        <v>0.798</v>
      </c>
      <c r="O23" s="131">
        <v>0.952</v>
      </c>
    </row>
    <row r="24" spans="1:15" s="120" customFormat="1" ht="12.75">
      <c r="A24" s="119" t="s">
        <v>23</v>
      </c>
      <c r="B24" s="118">
        <f>B$20*$N24/1000</f>
        <v>6544.971575999999</v>
      </c>
      <c r="C24" s="118">
        <f>C$20*$O24/1000</f>
        <v>6418.8205800000005</v>
      </c>
      <c r="D24" s="118">
        <f aca="true" t="shared" si="12" ref="D24:M24">D$20*$O24/1000</f>
        <v>6150.186800148611</v>
      </c>
      <c r="E24" s="118">
        <f t="shared" si="12"/>
        <v>5934.043228102848</v>
      </c>
      <c r="F24" s="118">
        <f t="shared" si="12"/>
        <v>5731.905456697529</v>
      </c>
      <c r="G24" s="118">
        <f t="shared" si="12"/>
        <v>5646.6088690133865</v>
      </c>
      <c r="H24" s="118">
        <f t="shared" si="12"/>
        <v>5630.205679074129</v>
      </c>
      <c r="I24" s="118">
        <f t="shared" si="12"/>
        <v>5659.100529044053</v>
      </c>
      <c r="J24" s="118">
        <f t="shared" si="12"/>
        <v>5681.560281422421</v>
      </c>
      <c r="K24" s="118">
        <f t="shared" si="12"/>
        <v>5710.707488160642</v>
      </c>
      <c r="L24" s="118">
        <f t="shared" si="12"/>
        <v>5737.3311272159</v>
      </c>
      <c r="M24" s="118">
        <f t="shared" si="12"/>
        <v>5762.5668040455275</v>
      </c>
      <c r="N24" s="76">
        <v>121.374</v>
      </c>
      <c r="O24" s="131">
        <v>122.637</v>
      </c>
    </row>
    <row r="25" spans="1:15" ht="14.25">
      <c r="A25" s="59" t="s">
        <v>11</v>
      </c>
      <c r="B25" s="54"/>
      <c r="C25" s="54"/>
      <c r="D25" s="54"/>
      <c r="E25" s="54"/>
      <c r="F25" s="11"/>
      <c r="G25" s="11"/>
      <c r="H25" s="11"/>
      <c r="I25" s="11"/>
      <c r="J25" s="11"/>
      <c r="K25" s="11"/>
      <c r="L25" s="11"/>
      <c r="M25" s="11"/>
      <c r="O25" s="132"/>
    </row>
    <row r="26" spans="1:15" ht="12.75">
      <c r="A26" s="7" t="s">
        <v>146</v>
      </c>
      <c r="B26" s="12">
        <v>27672</v>
      </c>
      <c r="C26" s="12">
        <v>27466</v>
      </c>
      <c r="D26" s="12">
        <v>27545</v>
      </c>
      <c r="E26" s="12">
        <v>27270</v>
      </c>
      <c r="F26" s="7">
        <v>26931</v>
      </c>
      <c r="G26" s="7">
        <v>25830</v>
      </c>
      <c r="H26" s="7">
        <v>24087</v>
      </c>
      <c r="I26" s="7">
        <v>22406</v>
      </c>
      <c r="J26" s="7">
        <v>20868</v>
      </c>
      <c r="K26" s="8">
        <v>20073</v>
      </c>
      <c r="L26" s="8">
        <v>19718</v>
      </c>
      <c r="M26" s="8">
        <v>19640</v>
      </c>
      <c r="O26" s="132"/>
    </row>
    <row r="27" spans="1:15" ht="12.75">
      <c r="A27" s="6" t="s">
        <v>28</v>
      </c>
      <c r="B27" s="9">
        <v>24170</v>
      </c>
      <c r="C27" s="9">
        <v>23914</v>
      </c>
      <c r="D27" s="9">
        <f aca="true" t="shared" si="13" ref="D27:M27">$C27*D26/$C26</f>
        <v>23982.783441345662</v>
      </c>
      <c r="E27" s="9">
        <f t="shared" si="13"/>
        <v>23743.347411344934</v>
      </c>
      <c r="F27" s="9">
        <f t="shared" si="13"/>
        <v>23448.188087089493</v>
      </c>
      <c r="G27" s="9">
        <f t="shared" si="13"/>
        <v>22489.57329061385</v>
      </c>
      <c r="H27" s="9">
        <f t="shared" si="13"/>
        <v>20971.984198645598</v>
      </c>
      <c r="I27" s="9">
        <f t="shared" si="13"/>
        <v>19508.377047986603</v>
      </c>
      <c r="J27" s="9">
        <f t="shared" si="13"/>
        <v>18169.276632927984</v>
      </c>
      <c r="K27" s="9">
        <f t="shared" si="13"/>
        <v>17477.088837107698</v>
      </c>
      <c r="L27" s="9">
        <f t="shared" si="13"/>
        <v>17167.998689288575</v>
      </c>
      <c r="M27" s="9">
        <f t="shared" si="13"/>
        <v>17100.08592441564</v>
      </c>
      <c r="O27" s="132"/>
    </row>
    <row r="28" spans="1:15" ht="12.75">
      <c r="A28" s="6" t="s">
        <v>22</v>
      </c>
      <c r="B28" s="118">
        <f>B$27*$N28</f>
        <v>1127530.5</v>
      </c>
      <c r="C28" s="118">
        <f>C$27*$O28</f>
        <v>1157772.396</v>
      </c>
      <c r="D28" s="118">
        <f aca="true" t="shared" si="14" ref="D28:M30">D$27*$O28</f>
        <v>1161102.477529309</v>
      </c>
      <c r="E28" s="118">
        <f t="shared" si="14"/>
        <v>1149510.4215728536</v>
      </c>
      <c r="F28" s="118">
        <f t="shared" si="14"/>
        <v>1135220.5780483508</v>
      </c>
      <c r="G28" s="118">
        <f t="shared" si="14"/>
        <v>1088810.201291779</v>
      </c>
      <c r="H28" s="118">
        <f t="shared" si="14"/>
        <v>1015337.642993228</v>
      </c>
      <c r="I28" s="118">
        <f t="shared" si="14"/>
        <v>944478.5664012234</v>
      </c>
      <c r="J28" s="118">
        <f t="shared" si="14"/>
        <v>879647.3589065755</v>
      </c>
      <c r="K28" s="118">
        <f t="shared" si="14"/>
        <v>846135.7789597322</v>
      </c>
      <c r="L28" s="118">
        <f t="shared" si="14"/>
        <v>831171.4885432171</v>
      </c>
      <c r="M28" s="118">
        <f t="shared" si="14"/>
        <v>827883.5599446589</v>
      </c>
      <c r="N28" s="49">
        <v>46.65</v>
      </c>
      <c r="O28" s="131">
        <v>48.414</v>
      </c>
    </row>
    <row r="29" spans="1:15" ht="12.75">
      <c r="A29" s="13" t="s">
        <v>1</v>
      </c>
      <c r="B29" s="63">
        <f>B$27*$N29</f>
        <v>1098526.5</v>
      </c>
      <c r="C29" s="63">
        <f>C$27*$O29</f>
        <v>1129171.252</v>
      </c>
      <c r="D29" s="63">
        <f t="shared" si="14"/>
        <v>1132419.0685334594</v>
      </c>
      <c r="E29" s="63">
        <f t="shared" si="14"/>
        <v>1121113.378068885</v>
      </c>
      <c r="F29" s="63">
        <f t="shared" si="14"/>
        <v>1107176.5450961918</v>
      </c>
      <c r="G29" s="63">
        <f t="shared" si="14"/>
        <v>1061912.671636205</v>
      </c>
      <c r="H29" s="63">
        <f t="shared" si="14"/>
        <v>990255.1498916479</v>
      </c>
      <c r="I29" s="63">
        <f t="shared" si="14"/>
        <v>921146.5474518315</v>
      </c>
      <c r="J29" s="63">
        <f t="shared" si="14"/>
        <v>857916.9040535936</v>
      </c>
      <c r="K29" s="63">
        <f t="shared" si="14"/>
        <v>825233.1807105513</v>
      </c>
      <c r="L29" s="63">
        <f t="shared" si="14"/>
        <v>810638.562110828</v>
      </c>
      <c r="M29" s="63">
        <f t="shared" si="14"/>
        <v>807431.8571790578</v>
      </c>
      <c r="N29" s="49">
        <v>45.45</v>
      </c>
      <c r="O29" s="131">
        <v>47.218</v>
      </c>
    </row>
    <row r="30" spans="1:15" ht="12.75">
      <c r="A30" s="13" t="s">
        <v>3</v>
      </c>
      <c r="B30" s="63">
        <f>B$27*$N30</f>
        <v>29004</v>
      </c>
      <c r="C30" s="63">
        <f>C$27*$O30</f>
        <v>28601.144</v>
      </c>
      <c r="D30" s="63">
        <f t="shared" si="14"/>
        <v>28683.40899584941</v>
      </c>
      <c r="E30" s="63">
        <f t="shared" si="14"/>
        <v>28397.04350396854</v>
      </c>
      <c r="F30" s="63">
        <f t="shared" si="14"/>
        <v>28044.032952159032</v>
      </c>
      <c r="G30" s="63">
        <f t="shared" si="14"/>
        <v>26897.529655574166</v>
      </c>
      <c r="H30" s="63">
        <f t="shared" si="14"/>
        <v>25082.493101580134</v>
      </c>
      <c r="I30" s="63">
        <f t="shared" si="14"/>
        <v>23332.018949391975</v>
      </c>
      <c r="J30" s="63">
        <f t="shared" si="14"/>
        <v>21730.454852981868</v>
      </c>
      <c r="K30" s="63">
        <f t="shared" si="14"/>
        <v>20902.598249180806</v>
      </c>
      <c r="L30" s="63">
        <f t="shared" si="14"/>
        <v>20532.926432389137</v>
      </c>
      <c r="M30" s="63">
        <f t="shared" si="14"/>
        <v>20451.702765601105</v>
      </c>
      <c r="N30" s="49">
        <v>1.2</v>
      </c>
      <c r="O30" s="131">
        <v>1.196</v>
      </c>
    </row>
    <row r="31" spans="1:15" s="120" customFormat="1" ht="12.75">
      <c r="A31" s="119" t="s">
        <v>23</v>
      </c>
      <c r="B31" s="118">
        <f>B$27*$N31/1000</f>
        <v>3628.78712</v>
      </c>
      <c r="C31" s="118">
        <f>C$27*$O31/1000</f>
        <v>3562.6838060000005</v>
      </c>
      <c r="D31" s="118">
        <f aca="true" t="shared" si="15" ref="D31:M31">D$27*$O31/1000</f>
        <v>3572.9310943082355</v>
      </c>
      <c r="E31" s="118">
        <f t="shared" si="15"/>
        <v>3537.2601539947573</v>
      </c>
      <c r="F31" s="118">
        <f t="shared" si="15"/>
        <v>3493.287613026506</v>
      </c>
      <c r="G31" s="118">
        <f t="shared" si="15"/>
        <v>3350.474139262361</v>
      </c>
      <c r="H31" s="118">
        <f t="shared" si="15"/>
        <v>3124.385233930023</v>
      </c>
      <c r="I31" s="118">
        <f t="shared" si="15"/>
        <v>2906.3385042319965</v>
      </c>
      <c r="J31" s="118">
        <f t="shared" si="15"/>
        <v>2706.840663496979</v>
      </c>
      <c r="K31" s="118">
        <f t="shared" si="15"/>
        <v>2603.719217863468</v>
      </c>
      <c r="L31" s="118">
        <f t="shared" si="15"/>
        <v>2557.6712767315225</v>
      </c>
      <c r="M31" s="118">
        <f t="shared" si="15"/>
        <v>2547.5537009335185</v>
      </c>
      <c r="N31" s="76">
        <v>150.136</v>
      </c>
      <c r="O31" s="131">
        <v>148.979</v>
      </c>
    </row>
    <row r="32" spans="1:15" ht="14.25">
      <c r="A32" s="59" t="s">
        <v>12</v>
      </c>
      <c r="B32" s="54"/>
      <c r="C32" s="54"/>
      <c r="D32" s="54"/>
      <c r="E32" s="54"/>
      <c r="F32" s="11"/>
      <c r="G32" s="11"/>
      <c r="H32" s="11"/>
      <c r="I32" s="11"/>
      <c r="J32" s="11"/>
      <c r="K32" s="11"/>
      <c r="L32" s="11"/>
      <c r="M32" s="11"/>
      <c r="O32" s="132"/>
    </row>
    <row r="33" spans="1:15" ht="12.75">
      <c r="A33" s="7" t="s">
        <v>145</v>
      </c>
      <c r="B33" s="12">
        <v>1147</v>
      </c>
      <c r="C33" s="12">
        <v>1109</v>
      </c>
      <c r="D33" s="12">
        <v>1077</v>
      </c>
      <c r="E33" s="14">
        <v>1108</v>
      </c>
      <c r="F33" s="7">
        <v>1132</v>
      </c>
      <c r="G33" s="7">
        <v>1137</v>
      </c>
      <c r="H33" s="7">
        <v>1147</v>
      </c>
      <c r="I33" s="7">
        <v>1150</v>
      </c>
      <c r="J33" s="7">
        <v>1148</v>
      </c>
      <c r="K33" s="7">
        <v>1126</v>
      </c>
      <c r="L33" s="7">
        <v>1066</v>
      </c>
      <c r="M33" s="7">
        <v>1010</v>
      </c>
      <c r="O33" s="132"/>
    </row>
    <row r="34" spans="1:15" ht="12.75">
      <c r="A34" s="6" t="s">
        <v>28</v>
      </c>
      <c r="B34" s="9">
        <v>939</v>
      </c>
      <c r="C34" s="9">
        <v>948</v>
      </c>
      <c r="D34" s="9">
        <f aca="true" t="shared" si="16" ref="D34:M34">$C34*D33/$C33</f>
        <v>920.6456266907123</v>
      </c>
      <c r="E34" s="9">
        <f t="shared" si="16"/>
        <v>947.1451758340847</v>
      </c>
      <c r="F34" s="9">
        <f t="shared" si="16"/>
        <v>967.6609558160505</v>
      </c>
      <c r="G34" s="9">
        <f t="shared" si="16"/>
        <v>971.9350766456267</v>
      </c>
      <c r="H34" s="9">
        <f t="shared" si="16"/>
        <v>980.4833183047791</v>
      </c>
      <c r="I34" s="9">
        <f t="shared" si="16"/>
        <v>983.0477908025248</v>
      </c>
      <c r="J34" s="9">
        <f t="shared" si="16"/>
        <v>981.3381424706943</v>
      </c>
      <c r="K34" s="9">
        <f t="shared" si="16"/>
        <v>962.5320108205591</v>
      </c>
      <c r="L34" s="9">
        <f t="shared" si="16"/>
        <v>911.2425608656447</v>
      </c>
      <c r="M34" s="9">
        <f t="shared" si="16"/>
        <v>863.3724075743913</v>
      </c>
      <c r="O34" s="132"/>
    </row>
    <row r="35" spans="1:15" ht="12.75">
      <c r="A35" s="6" t="s">
        <v>22</v>
      </c>
      <c r="B35" s="118">
        <f>B$34*$N35</f>
        <v>37447.32</v>
      </c>
      <c r="C35" s="118">
        <f>C$34*$O35</f>
        <v>39671.904</v>
      </c>
      <c r="D35" s="118">
        <f aca="true" t="shared" si="17" ref="D35:M37">D$34*$O35</f>
        <v>38527.17818575293</v>
      </c>
      <c r="E35" s="118">
        <f t="shared" si="17"/>
        <v>39636.131318304775</v>
      </c>
      <c r="F35" s="118">
        <f t="shared" si="17"/>
        <v>40494.67567899008</v>
      </c>
      <c r="G35" s="118">
        <f t="shared" si="17"/>
        <v>40673.53908746619</v>
      </c>
      <c r="H35" s="118">
        <f t="shared" si="17"/>
        <v>41031.2659044184</v>
      </c>
      <c r="I35" s="118">
        <f t="shared" si="17"/>
        <v>41138.58394950406</v>
      </c>
      <c r="J35" s="118">
        <f t="shared" si="17"/>
        <v>41067.03858611361</v>
      </c>
      <c r="K35" s="118">
        <f t="shared" si="17"/>
        <v>40280.039588818756</v>
      </c>
      <c r="L35" s="118">
        <f t="shared" si="17"/>
        <v>38133.6786871055</v>
      </c>
      <c r="M35" s="118">
        <f t="shared" si="17"/>
        <v>36130.408512173126</v>
      </c>
      <c r="N35" s="49">
        <v>39.88</v>
      </c>
      <c r="O35" s="131">
        <v>41.848</v>
      </c>
    </row>
    <row r="36" spans="1:15" ht="12.75">
      <c r="A36" s="13" t="s">
        <v>1</v>
      </c>
      <c r="B36" s="63">
        <f>B$34*$N36</f>
        <v>36790.958999999995</v>
      </c>
      <c r="C36" s="63">
        <f>C$34*$O36</f>
        <v>39009.252</v>
      </c>
      <c r="D36" s="63">
        <f t="shared" si="17"/>
        <v>37883.646892696124</v>
      </c>
      <c r="E36" s="63">
        <f t="shared" si="17"/>
        <v>38974.07684039675</v>
      </c>
      <c r="F36" s="63">
        <f t="shared" si="17"/>
        <v>39818.280670874665</v>
      </c>
      <c r="G36" s="63">
        <f t="shared" si="17"/>
        <v>39994.1564688909</v>
      </c>
      <c r="H36" s="63">
        <f t="shared" si="17"/>
        <v>40345.90806492336</v>
      </c>
      <c r="I36" s="63">
        <f t="shared" si="17"/>
        <v>40451.433543733096</v>
      </c>
      <c r="J36" s="63">
        <f t="shared" si="17"/>
        <v>40381.0832245266</v>
      </c>
      <c r="K36" s="63">
        <f t="shared" si="17"/>
        <v>39607.22971325519</v>
      </c>
      <c r="L36" s="63">
        <f t="shared" si="17"/>
        <v>37496.720137060416</v>
      </c>
      <c r="M36" s="63">
        <f t="shared" si="17"/>
        <v>35526.91119927863</v>
      </c>
      <c r="N36" s="49">
        <v>39.181</v>
      </c>
      <c r="O36" s="131">
        <v>41.149</v>
      </c>
    </row>
    <row r="37" spans="1:15" ht="12.75">
      <c r="A37" s="15" t="s">
        <v>3</v>
      </c>
      <c r="B37" s="63">
        <f>B$34*$N37</f>
        <v>656.361</v>
      </c>
      <c r="C37" s="63">
        <f>C$34*$O37</f>
        <v>662.6519999999999</v>
      </c>
      <c r="D37" s="63">
        <f t="shared" si="17"/>
        <v>643.5312930568078</v>
      </c>
      <c r="E37" s="63">
        <f t="shared" si="17"/>
        <v>662.0544779080252</v>
      </c>
      <c r="F37" s="63">
        <f t="shared" si="17"/>
        <v>676.3950081154193</v>
      </c>
      <c r="G37" s="63">
        <f t="shared" si="17"/>
        <v>679.382618575293</v>
      </c>
      <c r="H37" s="63">
        <f t="shared" si="17"/>
        <v>685.3578394950406</v>
      </c>
      <c r="I37" s="63">
        <f t="shared" si="17"/>
        <v>687.1504057709648</v>
      </c>
      <c r="J37" s="63">
        <f t="shared" si="17"/>
        <v>685.9553615870152</v>
      </c>
      <c r="K37" s="63">
        <f t="shared" si="17"/>
        <v>672.8098755635708</v>
      </c>
      <c r="L37" s="63">
        <f t="shared" si="17"/>
        <v>636.9585500450856</v>
      </c>
      <c r="M37" s="63">
        <f t="shared" si="17"/>
        <v>603.4973128944995</v>
      </c>
      <c r="N37" s="49">
        <v>0.699</v>
      </c>
      <c r="O37" s="131">
        <v>0.699</v>
      </c>
    </row>
    <row r="38" spans="1:15" s="120" customFormat="1" ht="12.75">
      <c r="A38" s="119" t="s">
        <v>23</v>
      </c>
      <c r="B38" s="118">
        <f>B$34*$N38/1000</f>
        <v>109.81323300000001</v>
      </c>
      <c r="C38" s="118">
        <f>C$34*$O38/1000</f>
        <v>111.421284</v>
      </c>
      <c r="D38" s="118">
        <f aca="true" t="shared" si="18" ref="D38:M38">D$34*$O38/1000</f>
        <v>108.20624244183949</v>
      </c>
      <c r="E38" s="118">
        <f t="shared" si="18"/>
        <v>111.32081395130749</v>
      </c>
      <c r="F38" s="118">
        <f t="shared" si="18"/>
        <v>113.73209511992786</v>
      </c>
      <c r="G38" s="118">
        <f t="shared" si="18"/>
        <v>114.23444536339045</v>
      </c>
      <c r="H38" s="118">
        <f t="shared" si="18"/>
        <v>115.23914585031561</v>
      </c>
      <c r="I38" s="118">
        <f t="shared" si="18"/>
        <v>115.54055599639314</v>
      </c>
      <c r="J38" s="118">
        <f t="shared" si="18"/>
        <v>115.33961589900812</v>
      </c>
      <c r="K38" s="118">
        <f t="shared" si="18"/>
        <v>113.12927482777276</v>
      </c>
      <c r="L38" s="118">
        <f t="shared" si="18"/>
        <v>107.10107190622182</v>
      </c>
      <c r="M38" s="118">
        <f t="shared" si="18"/>
        <v>101.47474917944095</v>
      </c>
      <c r="N38" s="76">
        <v>116.947</v>
      </c>
      <c r="O38" s="131">
        <v>117.533</v>
      </c>
    </row>
    <row r="39" spans="1:13" ht="14.25">
      <c r="A39" s="59" t="s">
        <v>148</v>
      </c>
      <c r="B39" s="54"/>
      <c r="C39" s="54"/>
      <c r="D39" s="54"/>
      <c r="E39" s="54"/>
      <c r="F39" s="11"/>
      <c r="G39" s="11"/>
      <c r="H39" s="11"/>
      <c r="I39" s="11"/>
      <c r="J39" s="11"/>
      <c r="K39" s="11"/>
      <c r="L39" s="11"/>
      <c r="M39" s="11"/>
    </row>
    <row r="40" spans="1:13" ht="12.75">
      <c r="A40" s="7" t="s">
        <v>149</v>
      </c>
      <c r="B40" s="12">
        <v>0</v>
      </c>
      <c r="C40" s="12">
        <v>325</v>
      </c>
      <c r="D40" s="12">
        <v>325</v>
      </c>
      <c r="E40" s="12">
        <v>325</v>
      </c>
      <c r="F40" s="12">
        <v>325</v>
      </c>
      <c r="G40" s="12">
        <v>325</v>
      </c>
      <c r="H40" s="12">
        <v>325</v>
      </c>
      <c r="I40" s="12">
        <v>325</v>
      </c>
      <c r="J40" s="12">
        <v>325</v>
      </c>
      <c r="K40" s="12">
        <v>325</v>
      </c>
      <c r="L40" s="12">
        <v>325</v>
      </c>
      <c r="M40" s="12">
        <v>325</v>
      </c>
    </row>
    <row r="41" spans="1:15" ht="12.75">
      <c r="A41" s="6" t="s">
        <v>22</v>
      </c>
      <c r="B41" s="12">
        <v>0</v>
      </c>
      <c r="C41" s="118">
        <f aca="true" t="shared" si="19" ref="C41:M43">C$40*$O41</f>
        <v>57717.4</v>
      </c>
      <c r="D41" s="118">
        <f t="shared" si="19"/>
        <v>57717.4</v>
      </c>
      <c r="E41" s="118">
        <f t="shared" si="19"/>
        <v>57717.4</v>
      </c>
      <c r="F41" s="118">
        <f t="shared" si="19"/>
        <v>57717.4</v>
      </c>
      <c r="G41" s="118">
        <f t="shared" si="19"/>
        <v>57717.4</v>
      </c>
      <c r="H41" s="118">
        <f t="shared" si="19"/>
        <v>57717.4</v>
      </c>
      <c r="I41" s="118">
        <f t="shared" si="19"/>
        <v>57717.4</v>
      </c>
      <c r="J41" s="118">
        <f t="shared" si="19"/>
        <v>57717.4</v>
      </c>
      <c r="K41" s="118">
        <f t="shared" si="19"/>
        <v>57717.4</v>
      </c>
      <c r="L41" s="118">
        <f t="shared" si="19"/>
        <v>57717.4</v>
      </c>
      <c r="M41" s="118">
        <f t="shared" si="19"/>
        <v>57717.4</v>
      </c>
      <c r="O41" s="131">
        <v>177.592</v>
      </c>
    </row>
    <row r="42" spans="1:15" ht="12.75">
      <c r="A42" s="13" t="s">
        <v>1</v>
      </c>
      <c r="B42" s="12">
        <v>0</v>
      </c>
      <c r="C42" s="63">
        <f t="shared" si="19"/>
        <v>57263.049999999996</v>
      </c>
      <c r="D42" s="63">
        <f t="shared" si="19"/>
        <v>57263.049999999996</v>
      </c>
      <c r="E42" s="63">
        <f t="shared" si="19"/>
        <v>57263.049999999996</v>
      </c>
      <c r="F42" s="63">
        <f t="shared" si="19"/>
        <v>57263.049999999996</v>
      </c>
      <c r="G42" s="63">
        <f t="shared" si="19"/>
        <v>57263.049999999996</v>
      </c>
      <c r="H42" s="63">
        <f t="shared" si="19"/>
        <v>57263.049999999996</v>
      </c>
      <c r="I42" s="63">
        <f t="shared" si="19"/>
        <v>57263.049999999996</v>
      </c>
      <c r="J42" s="63">
        <f t="shared" si="19"/>
        <v>57263.049999999996</v>
      </c>
      <c r="K42" s="63">
        <f t="shared" si="19"/>
        <v>57263.049999999996</v>
      </c>
      <c r="L42" s="63">
        <f t="shared" si="19"/>
        <v>57263.049999999996</v>
      </c>
      <c r="M42" s="63">
        <f t="shared" si="19"/>
        <v>57263.049999999996</v>
      </c>
      <c r="O42" s="131">
        <v>176.194</v>
      </c>
    </row>
    <row r="43" spans="1:15" ht="12.75">
      <c r="A43" s="13" t="s">
        <v>3</v>
      </c>
      <c r="B43" s="12">
        <v>0</v>
      </c>
      <c r="C43" s="63">
        <f t="shared" si="19"/>
        <v>454.34999999999997</v>
      </c>
      <c r="D43" s="63">
        <f t="shared" si="19"/>
        <v>454.34999999999997</v>
      </c>
      <c r="E43" s="63">
        <f t="shared" si="19"/>
        <v>454.34999999999997</v>
      </c>
      <c r="F43" s="63">
        <f t="shared" si="19"/>
        <v>454.34999999999997</v>
      </c>
      <c r="G43" s="63">
        <f t="shared" si="19"/>
        <v>454.34999999999997</v>
      </c>
      <c r="H43" s="63">
        <f t="shared" si="19"/>
        <v>454.34999999999997</v>
      </c>
      <c r="I43" s="63">
        <f t="shared" si="19"/>
        <v>454.34999999999997</v>
      </c>
      <c r="J43" s="63">
        <f t="shared" si="19"/>
        <v>454.34999999999997</v>
      </c>
      <c r="K43" s="63">
        <f t="shared" si="19"/>
        <v>454.34999999999997</v>
      </c>
      <c r="L43" s="63">
        <f t="shared" si="19"/>
        <v>454.34999999999997</v>
      </c>
      <c r="M43" s="63">
        <f t="shared" si="19"/>
        <v>454.34999999999997</v>
      </c>
      <c r="O43" s="131">
        <v>1.398</v>
      </c>
    </row>
    <row r="44" spans="1:15" ht="12.75">
      <c r="A44" s="119" t="s">
        <v>23</v>
      </c>
      <c r="B44" s="12">
        <v>0</v>
      </c>
      <c r="C44" s="118">
        <f aca="true" t="shared" si="20" ref="C44:M44">C$40*$O44/1000</f>
        <v>212.13465</v>
      </c>
      <c r="D44" s="118">
        <f t="shared" si="20"/>
        <v>212.13465</v>
      </c>
      <c r="E44" s="118">
        <f t="shared" si="20"/>
        <v>212.13465</v>
      </c>
      <c r="F44" s="118">
        <f t="shared" si="20"/>
        <v>212.13465</v>
      </c>
      <c r="G44" s="118">
        <f t="shared" si="20"/>
        <v>212.13465</v>
      </c>
      <c r="H44" s="118">
        <f t="shared" si="20"/>
        <v>212.13465</v>
      </c>
      <c r="I44" s="118">
        <f t="shared" si="20"/>
        <v>212.13465</v>
      </c>
      <c r="J44" s="118">
        <f t="shared" si="20"/>
        <v>212.13465</v>
      </c>
      <c r="K44" s="118">
        <f t="shared" si="20"/>
        <v>212.13465</v>
      </c>
      <c r="L44" s="118">
        <f t="shared" si="20"/>
        <v>212.13465</v>
      </c>
      <c r="M44" s="118">
        <f t="shared" si="20"/>
        <v>212.13465</v>
      </c>
      <c r="O44" s="131">
        <v>652.722</v>
      </c>
    </row>
    <row r="45" spans="1:10" ht="12.75">
      <c r="A45" s="133"/>
      <c r="B45" s="17"/>
      <c r="C45" s="17"/>
      <c r="D45" s="17"/>
      <c r="E45" s="17"/>
      <c r="F45" s="16"/>
      <c r="G45" s="16"/>
      <c r="H45" s="16"/>
      <c r="I45" s="16"/>
      <c r="J45" s="16"/>
    </row>
    <row r="46" spans="1:10" ht="12.75">
      <c r="A46" s="16" t="s">
        <v>73</v>
      </c>
      <c r="C46" s="17"/>
      <c r="D46" s="17"/>
      <c r="E46" s="17"/>
      <c r="F46" s="16"/>
      <c r="G46" s="16"/>
      <c r="H46" s="16"/>
      <c r="I46" s="16"/>
      <c r="J46" s="16"/>
    </row>
    <row r="47" spans="1:10" ht="12.75">
      <c r="A47" s="4" t="s">
        <v>151</v>
      </c>
      <c r="B47" s="4"/>
      <c r="C47" s="17"/>
      <c r="D47" s="17"/>
      <c r="E47" s="17"/>
      <c r="F47" s="16"/>
      <c r="G47" s="16"/>
      <c r="H47" s="16"/>
      <c r="I47" s="16"/>
      <c r="J47" s="16"/>
    </row>
    <row r="48" spans="1:10" ht="12.75">
      <c r="A48" s="16" t="s">
        <v>155</v>
      </c>
      <c r="B48" s="17"/>
      <c r="C48" s="17"/>
      <c r="D48" s="17"/>
      <c r="E48" s="17"/>
      <c r="F48" s="16"/>
      <c r="G48" s="16"/>
      <c r="H48" s="16"/>
      <c r="I48" s="16"/>
      <c r="J48" s="16"/>
    </row>
    <row r="49" spans="1:10" ht="12.75">
      <c r="A49" s="16" t="s">
        <v>156</v>
      </c>
      <c r="B49" s="17"/>
      <c r="C49" s="17"/>
      <c r="D49" s="17"/>
      <c r="E49" s="17"/>
      <c r="F49" s="16"/>
      <c r="G49" s="16"/>
      <c r="H49" s="16"/>
      <c r="I49" s="16"/>
      <c r="J49" s="16"/>
    </row>
    <row r="50" spans="2:10" ht="15" customHeight="1">
      <c r="B50" s="17"/>
      <c r="C50" s="17"/>
      <c r="D50" s="17"/>
      <c r="E50" s="17"/>
      <c r="F50" s="16"/>
      <c r="G50" s="16"/>
      <c r="H50" s="16"/>
      <c r="I50" s="16"/>
      <c r="J50" s="16"/>
    </row>
    <row r="51" spans="1:10" ht="12.75">
      <c r="A51" s="1" t="s">
        <v>159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</sheetData>
  <printOptions/>
  <pageMargins left="0.75" right="0.75" top="0.83" bottom="0.69" header="0.4921259845" footer="0.4921259845"/>
  <pageSetup fitToHeight="0" fitToWidth="1" horizontalDpi="600" verticalDpi="600" orientation="landscape" paperSize="9" scale="75" r:id="rId1"/>
  <headerFooter alignWithMargins="0">
    <oddHeader>&amp;LPříloha č. 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B21" sqref="B21"/>
      <selection activeCell="A1" sqref="A1"/>
    </sheetView>
  </sheetViews>
  <sheetFormatPr defaultColWidth="9.140625" defaultRowHeight="12.75"/>
  <cols>
    <col min="1" max="1" width="30.28125" style="0" customWidth="1"/>
  </cols>
  <sheetData>
    <row r="1" spans="1:6" ht="18.75">
      <c r="A1" s="121" t="s">
        <v>120</v>
      </c>
      <c r="F1" s="24"/>
    </row>
    <row r="3" ht="12.75">
      <c r="A3" s="18" t="s">
        <v>18</v>
      </c>
    </row>
    <row r="4" ht="12.75">
      <c r="A4" s="4" t="s">
        <v>70</v>
      </c>
    </row>
    <row r="5" spans="1:6" ht="12.75">
      <c r="A5" s="4"/>
      <c r="F5" s="24" t="s">
        <v>71</v>
      </c>
    </row>
    <row r="6" spans="1:6" ht="27.75" customHeight="1">
      <c r="A6" s="19" t="s">
        <v>66</v>
      </c>
      <c r="B6" s="80">
        <v>2006</v>
      </c>
      <c r="C6" s="81">
        <v>2007</v>
      </c>
      <c r="D6" s="81">
        <v>2008</v>
      </c>
      <c r="E6" s="80">
        <v>2009</v>
      </c>
      <c r="F6" s="80">
        <v>2010</v>
      </c>
    </row>
    <row r="7" spans="1:6" ht="12.75">
      <c r="A7" s="22" t="s">
        <v>74</v>
      </c>
      <c r="B7" s="10">
        <v>2675</v>
      </c>
      <c r="C7" s="10">
        <f aca="true" t="shared" si="0" ref="C7:F9">ROUND(B7/B$11*C$11,0)</f>
        <v>2886</v>
      </c>
      <c r="D7" s="10">
        <f t="shared" si="0"/>
        <v>2973</v>
      </c>
      <c r="E7" s="10">
        <f t="shared" si="0"/>
        <v>3062</v>
      </c>
      <c r="F7" s="10">
        <f t="shared" si="0"/>
        <v>3154</v>
      </c>
    </row>
    <row r="8" spans="1:6" ht="12.75">
      <c r="A8" s="22" t="s">
        <v>30</v>
      </c>
      <c r="B8" s="10">
        <v>32072</v>
      </c>
      <c r="C8" s="10">
        <f t="shared" si="0"/>
        <v>34606</v>
      </c>
      <c r="D8" s="10">
        <f t="shared" si="0"/>
        <v>35644</v>
      </c>
      <c r="E8" s="10">
        <f t="shared" si="0"/>
        <v>36713</v>
      </c>
      <c r="F8" s="10">
        <f t="shared" si="0"/>
        <v>37814</v>
      </c>
    </row>
    <row r="9" spans="1:6" ht="12.75">
      <c r="A9" s="45" t="s">
        <v>130</v>
      </c>
      <c r="B9" s="10">
        <f>198735+39687</f>
        <v>238422</v>
      </c>
      <c r="C9" s="10">
        <f t="shared" si="0"/>
        <v>257257</v>
      </c>
      <c r="D9" s="10">
        <f t="shared" si="0"/>
        <v>264975</v>
      </c>
      <c r="E9" s="10">
        <f t="shared" si="0"/>
        <v>272924</v>
      </c>
      <c r="F9" s="10">
        <f t="shared" si="0"/>
        <v>281111</v>
      </c>
    </row>
    <row r="10" spans="1:6" ht="12.75">
      <c r="A10" s="46" t="s">
        <v>17</v>
      </c>
      <c r="B10" s="10">
        <v>26829</v>
      </c>
      <c r="C10" s="10">
        <f>C11-C7-C8-C9</f>
        <v>28949</v>
      </c>
      <c r="D10" s="10">
        <f>D11-D7-D8-D9</f>
        <v>29817</v>
      </c>
      <c r="E10" s="10">
        <f>E11-E7-E8-E9</f>
        <v>30712</v>
      </c>
      <c r="F10" s="10">
        <f>F11-F7-F8-F9</f>
        <v>31634</v>
      </c>
    </row>
    <row r="11" spans="1:6" ht="12.75">
      <c r="A11" s="77" t="s">
        <v>63</v>
      </c>
      <c r="B11" s="84">
        <v>299998</v>
      </c>
      <c r="C11" s="84">
        <f>ROUND((B11-10000)*1.03,0)+25000</f>
        <v>323698</v>
      </c>
      <c r="D11" s="84">
        <f aca="true" t="shared" si="1" ref="D11:F14">ROUND(C11*1.03,0)</f>
        <v>333409</v>
      </c>
      <c r="E11" s="84">
        <f t="shared" si="1"/>
        <v>343411</v>
      </c>
      <c r="F11" s="84">
        <f t="shared" si="1"/>
        <v>353713</v>
      </c>
    </row>
    <row r="12" spans="1:6" ht="12.75">
      <c r="A12" s="78" t="s">
        <v>67</v>
      </c>
      <c r="B12" s="82">
        <v>10000</v>
      </c>
      <c r="C12" s="82">
        <v>10000</v>
      </c>
      <c r="D12" s="82">
        <f aca="true" t="shared" si="2" ref="D12:F13">ROUND(C12/C$11*D$11,0)</f>
        <v>10300</v>
      </c>
      <c r="E12" s="82">
        <f t="shared" si="2"/>
        <v>10609</v>
      </c>
      <c r="F12" s="82">
        <f t="shared" si="2"/>
        <v>10927</v>
      </c>
    </row>
    <row r="13" spans="1:6" ht="15.75" customHeight="1">
      <c r="A13" s="79" t="s">
        <v>68</v>
      </c>
      <c r="B13" s="83">
        <v>0</v>
      </c>
      <c r="C13" s="83">
        <v>15000</v>
      </c>
      <c r="D13" s="83">
        <f t="shared" si="2"/>
        <v>15450</v>
      </c>
      <c r="E13" s="83">
        <f t="shared" si="2"/>
        <v>15913</v>
      </c>
      <c r="F13" s="83">
        <f t="shared" si="2"/>
        <v>16390</v>
      </c>
    </row>
    <row r="14" spans="1:6" ht="12.75">
      <c r="A14" s="46" t="s">
        <v>51</v>
      </c>
      <c r="B14" s="75">
        <v>14841</v>
      </c>
      <c r="C14" s="75">
        <f>ROUND(B14*1.03,0)</f>
        <v>15286</v>
      </c>
      <c r="D14" s="75">
        <f t="shared" si="1"/>
        <v>15745</v>
      </c>
      <c r="E14" s="75">
        <f t="shared" si="1"/>
        <v>16217</v>
      </c>
      <c r="F14" s="75">
        <f t="shared" si="1"/>
        <v>16704</v>
      </c>
    </row>
    <row r="15" spans="1:6" ht="25.5">
      <c r="A15" s="46" t="s">
        <v>50</v>
      </c>
      <c r="B15" s="75">
        <v>6220</v>
      </c>
      <c r="C15" s="75">
        <v>4000</v>
      </c>
      <c r="D15" s="75">
        <f>ROUND(C15*1.03,0)</f>
        <v>4120</v>
      </c>
      <c r="E15" s="75">
        <f>ROUND(D15*1.03,0)</f>
        <v>4244</v>
      </c>
      <c r="F15" s="75">
        <f>ROUND(E15*1.03,0)</f>
        <v>4371</v>
      </c>
    </row>
    <row r="16" spans="1:6" ht="12.75">
      <c r="A16" s="46" t="s">
        <v>52</v>
      </c>
      <c r="B16" s="85">
        <f>B15+B14+B11</f>
        <v>321059</v>
      </c>
      <c r="C16" s="85">
        <f>C15+C14+C11</f>
        <v>342984</v>
      </c>
      <c r="D16" s="85">
        <f>D15+D14+D11</f>
        <v>353274</v>
      </c>
      <c r="E16" s="85">
        <f>E15+E14+E11</f>
        <v>363872</v>
      </c>
      <c r="F16" s="85">
        <f>F15+F14+F11</f>
        <v>374788</v>
      </c>
    </row>
    <row r="17" ht="12.75">
      <c r="A17" s="47"/>
    </row>
    <row r="18" ht="12.75">
      <c r="A18" s="47"/>
    </row>
    <row r="19" spans="1:6" ht="12.75">
      <c r="A19" s="47"/>
      <c r="F19" s="86"/>
    </row>
    <row r="20" ht="12.75">
      <c r="A20" s="18" t="s">
        <v>19</v>
      </c>
    </row>
    <row r="21" ht="12.75">
      <c r="A21" s="4" t="s">
        <v>72</v>
      </c>
    </row>
    <row r="22" spans="1:6" ht="12.75">
      <c r="A22" s="4"/>
      <c r="F22" s="24" t="s">
        <v>71</v>
      </c>
    </row>
    <row r="23" spans="1:6" ht="25.5">
      <c r="A23" s="19" t="s">
        <v>66</v>
      </c>
      <c r="B23" s="80">
        <v>2006</v>
      </c>
      <c r="C23" s="81">
        <v>2007</v>
      </c>
      <c r="D23" s="81">
        <v>2008</v>
      </c>
      <c r="E23" s="80">
        <v>2009</v>
      </c>
      <c r="F23" s="80">
        <v>2010</v>
      </c>
    </row>
    <row r="24" spans="1:6" ht="12.75">
      <c r="A24" s="74" t="s">
        <v>5</v>
      </c>
      <c r="B24" s="76">
        <v>65000</v>
      </c>
      <c r="C24" s="76">
        <v>170000</v>
      </c>
      <c r="D24" s="76">
        <f aca="true" t="shared" si="3" ref="D24:F25">ROUND(C24*1.03,0)</f>
        <v>175100</v>
      </c>
      <c r="E24" s="76">
        <f t="shared" si="3"/>
        <v>180353</v>
      </c>
      <c r="F24" s="76">
        <f t="shared" si="3"/>
        <v>185764</v>
      </c>
    </row>
    <row r="25" spans="1:6" ht="12.75">
      <c r="A25" s="22" t="s">
        <v>64</v>
      </c>
      <c r="B25" s="41">
        <v>65000</v>
      </c>
      <c r="C25" s="41">
        <v>150000</v>
      </c>
      <c r="D25" s="41">
        <f t="shared" si="3"/>
        <v>154500</v>
      </c>
      <c r="E25" s="41">
        <f t="shared" si="3"/>
        <v>159135</v>
      </c>
      <c r="F25" s="41">
        <f t="shared" si="3"/>
        <v>163909</v>
      </c>
    </row>
    <row r="26" spans="1:6" ht="25.5">
      <c r="A26" s="22" t="s">
        <v>65</v>
      </c>
      <c r="B26" s="41">
        <v>0</v>
      </c>
      <c r="C26" s="41">
        <v>20000</v>
      </c>
      <c r="D26" s="41">
        <f>D24-D25</f>
        <v>20600</v>
      </c>
      <c r="E26" s="41">
        <f>E24-E25</f>
        <v>21218</v>
      </c>
      <c r="F26" s="41">
        <f>F24-F25</f>
        <v>21855</v>
      </c>
    </row>
    <row r="28" spans="1:6" ht="12.75">
      <c r="A28" s="47"/>
      <c r="B28" s="43"/>
      <c r="C28" s="43"/>
      <c r="D28" s="43"/>
      <c r="E28" s="43"/>
      <c r="F28" s="43"/>
    </row>
    <row r="29" spans="1:6" ht="12.75">
      <c r="A29" s="4" t="s">
        <v>131</v>
      </c>
      <c r="F29" s="16"/>
    </row>
    <row r="30" ht="12.75">
      <c r="A30" s="4" t="s">
        <v>132</v>
      </c>
    </row>
    <row r="31" ht="12.75">
      <c r="F31" s="24" t="s">
        <v>71</v>
      </c>
    </row>
    <row r="32" spans="1:6" ht="12.75">
      <c r="A32" s="7" t="s">
        <v>141</v>
      </c>
      <c r="B32" s="20">
        <v>2006</v>
      </c>
      <c r="C32" s="21">
        <v>2007</v>
      </c>
      <c r="D32" s="21">
        <v>2008</v>
      </c>
      <c r="E32" s="20">
        <v>2009</v>
      </c>
      <c r="F32" s="20">
        <v>2010</v>
      </c>
    </row>
    <row r="33" spans="1:6" ht="12.75">
      <c r="A33" s="8" t="s">
        <v>135</v>
      </c>
      <c r="B33" s="8">
        <v>15000</v>
      </c>
      <c r="C33" s="8">
        <v>0</v>
      </c>
      <c r="D33" s="8">
        <f aca="true" t="shared" si="4" ref="D33:F35">C33*1.03</f>
        <v>0</v>
      </c>
      <c r="E33" s="8">
        <f t="shared" si="4"/>
        <v>0</v>
      </c>
      <c r="F33" s="8">
        <f t="shared" si="4"/>
        <v>0</v>
      </c>
    </row>
    <row r="34" spans="1:6" ht="12.75">
      <c r="A34" s="8" t="s">
        <v>133</v>
      </c>
      <c r="B34" s="8"/>
      <c r="C34" s="130">
        <v>15000</v>
      </c>
      <c r="D34" s="130">
        <f t="shared" si="4"/>
        <v>15450</v>
      </c>
      <c r="E34" s="130">
        <f t="shared" si="4"/>
        <v>15913.5</v>
      </c>
      <c r="F34" s="130">
        <f t="shared" si="4"/>
        <v>16390.905</v>
      </c>
    </row>
    <row r="35" spans="1:6" ht="12.75">
      <c r="A35" s="8" t="s">
        <v>134</v>
      </c>
      <c r="B35" s="8">
        <v>0</v>
      </c>
      <c r="C35" s="130">
        <v>5000</v>
      </c>
      <c r="D35" s="130">
        <f t="shared" si="4"/>
        <v>5150</v>
      </c>
      <c r="E35" s="130">
        <f t="shared" si="4"/>
        <v>5304.5</v>
      </c>
      <c r="F35" s="130">
        <f t="shared" si="4"/>
        <v>5463.635</v>
      </c>
    </row>
    <row r="36" ht="12.75">
      <c r="A36" s="1"/>
    </row>
    <row r="37" ht="12.75">
      <c r="A37" s="1" t="s">
        <v>73</v>
      </c>
    </row>
    <row r="38" ht="12.75">
      <c r="A38" s="1" t="s">
        <v>136</v>
      </c>
    </row>
    <row r="40" ht="12.75">
      <c r="A40" s="1"/>
    </row>
    <row r="41" spans="1:6" ht="12.75">
      <c r="A41" s="4" t="s">
        <v>69</v>
      </c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6" t="s">
        <v>4</v>
      </c>
      <c r="B43" s="80">
        <v>2006</v>
      </c>
      <c r="C43" s="81">
        <v>2007</v>
      </c>
      <c r="D43" s="81">
        <v>2008</v>
      </c>
      <c r="E43" s="80">
        <v>2009</v>
      </c>
      <c r="F43" s="80">
        <v>2010</v>
      </c>
    </row>
    <row r="44" spans="1:6" ht="12.75">
      <c r="A44" s="89"/>
      <c r="B44" s="89"/>
      <c r="C44" s="89"/>
      <c r="D44" s="89"/>
      <c r="E44" s="89"/>
      <c r="F44" s="89"/>
    </row>
    <row r="45" spans="1:6" ht="12.75">
      <c r="A45" s="89"/>
      <c r="B45" s="89"/>
      <c r="C45" s="89"/>
      <c r="D45" s="89"/>
      <c r="E45" s="89"/>
      <c r="F45" s="89"/>
    </row>
    <row r="46" spans="1:6" ht="12.75">
      <c r="A46" s="89"/>
      <c r="B46" s="89"/>
      <c r="C46" s="89"/>
      <c r="D46" s="89"/>
      <c r="E46" s="89"/>
      <c r="F46" s="89"/>
    </row>
    <row r="47" spans="1:6" ht="12.75">
      <c r="A47" s="89"/>
      <c r="B47" s="89"/>
      <c r="C47" s="89"/>
      <c r="D47" s="89"/>
      <c r="E47" s="89"/>
      <c r="F47" s="89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tabulk. přílohy ekonom. části dlouhodobého záměru</dc:title>
  <dc:subject/>
  <dc:creator>Ing. Václav Jarkovský</dc:creator>
  <cp:keywords/>
  <dc:description/>
  <cp:lastModifiedBy>sm637</cp:lastModifiedBy>
  <cp:lastPrinted>2006-02-21T13:01:17Z</cp:lastPrinted>
  <dcterms:created xsi:type="dcterms:W3CDTF">2004-05-04T08:24:06Z</dcterms:created>
  <dcterms:modified xsi:type="dcterms:W3CDTF">2006-02-21T13:01:24Z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2098944364</vt:i4>
  </property>
  <property fmtid="{D5CDD505-2E9C-101B-9397-08002B2CF9AE}" pid="3" name="_EmailSubject">
    <vt:lpwstr>Dlouhodobý záměr</vt:lpwstr>
  </property>
  <property fmtid="{D5CDD505-2E9C-101B-9397-08002B2CF9AE}" pid="4" name="_AuthorEmail">
    <vt:lpwstr>jhorak@kr-kralovehradecky.cz</vt:lpwstr>
  </property>
  <property fmtid="{D5CDD505-2E9C-101B-9397-08002B2CF9AE}" pid="5" name="_AuthorEmailDisplayName">
    <vt:lpwstr>Horák Jiří Ing.</vt:lpwstr>
  </property>
  <property fmtid="{D5CDD505-2E9C-101B-9397-08002B2CF9AE}" pid="6" name="_PreviousAdHocReviewCycleID">
    <vt:i4>-2034929945</vt:i4>
  </property>
  <property fmtid="{D5CDD505-2E9C-101B-9397-08002B2CF9AE}" pid="7" name="_ReviewingToolsShownOnce">
    <vt:lpwstr/>
  </property>
</Properties>
</file>