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80" windowWidth="14865" windowHeight="7875" activeTab="0"/>
  </bookViews>
  <sheets>
    <sheet name="Příl.č.1" sheetId="1" r:id="rId1"/>
  </sheets>
  <definedNames>
    <definedName name="_xlnm.Print_Titles" localSheetId="0">'Příl.č.1'!$7:$8</definedName>
  </definedNames>
  <calcPr fullCalcOnLoad="1"/>
</workbook>
</file>

<file path=xl/sharedStrings.xml><?xml version="1.0" encoding="utf-8"?>
<sst xmlns="http://schemas.openxmlformats.org/spreadsheetml/2006/main" count="357" uniqueCount="218">
  <si>
    <t>daňové příjmy</t>
  </si>
  <si>
    <t>v tom:</t>
  </si>
  <si>
    <t>Příjmy celkem</t>
  </si>
  <si>
    <t>UKAZATEL</t>
  </si>
  <si>
    <t xml:space="preserve">PŘÍJMY    </t>
  </si>
  <si>
    <t>VÝDAJE</t>
  </si>
  <si>
    <t>odměny vč. refundací</t>
  </si>
  <si>
    <t>povinné pojistné placené zaměstnavatelem</t>
  </si>
  <si>
    <t>pohoštění a dary</t>
  </si>
  <si>
    <t>ostatní běžné výdaje</t>
  </si>
  <si>
    <t>ostatní příspěvky a dary</t>
  </si>
  <si>
    <t>platy zaměstnanců a ost.pl.za prov.práci</t>
  </si>
  <si>
    <t>pohoštění</t>
  </si>
  <si>
    <t>krizové plánování</t>
  </si>
  <si>
    <t>kap. 18 - zastupitelstvo kraje</t>
  </si>
  <si>
    <t>kap. 19 - činnost krajského úřadu</t>
  </si>
  <si>
    <t>kap. 10 - doprava</t>
  </si>
  <si>
    <t>kap. 14 - školství</t>
  </si>
  <si>
    <t>příspěvky PO na provoz</t>
  </si>
  <si>
    <t>kap. 15 - zdravotnictví</t>
  </si>
  <si>
    <t>kap. 16 - kultura</t>
  </si>
  <si>
    <t>kap. 28 - sociální věci</t>
  </si>
  <si>
    <t>kap. 41 - rezerva a ost.výd.netýk.se odvětví</t>
  </si>
  <si>
    <t>Výdaje celkem</t>
  </si>
  <si>
    <t xml:space="preserve">  z VPS</t>
  </si>
  <si>
    <t xml:space="preserve">  od úřadů práce</t>
  </si>
  <si>
    <t xml:space="preserve">  od obcí</t>
  </si>
  <si>
    <t>soustředěné pojištění majetku kraje</t>
  </si>
  <si>
    <t>řešení havarijních situací</t>
  </si>
  <si>
    <t xml:space="preserve">             - školy a školská zařízení zřiz. krajem</t>
  </si>
  <si>
    <t xml:space="preserve">             - soukromé školství</t>
  </si>
  <si>
    <t xml:space="preserve">             - školy a školská zařízení zřiz. obcemi</t>
  </si>
  <si>
    <t>přímé náklady na vzdělávání - SR</t>
  </si>
  <si>
    <t>soutěže a přehlídky - SR</t>
  </si>
  <si>
    <t>běžné výdaje</t>
  </si>
  <si>
    <t>kapitálové výdaje</t>
  </si>
  <si>
    <t>kap. 17 - přísp.pro sbory hasičů</t>
  </si>
  <si>
    <t>dopravní územní obslužnost:</t>
  </si>
  <si>
    <t xml:space="preserve">    autobusová doprava</t>
  </si>
  <si>
    <t xml:space="preserve">    drážní doprava</t>
  </si>
  <si>
    <t>sociální věci</t>
  </si>
  <si>
    <t>ostatní kapitálové výdaje</t>
  </si>
  <si>
    <t>kultura</t>
  </si>
  <si>
    <t xml:space="preserve">  z MŠMT</t>
  </si>
  <si>
    <t>grantové a dílčí programy a samostat.projekty</t>
  </si>
  <si>
    <t>příspěvky PO na provoz - od ÚP</t>
  </si>
  <si>
    <t>v tom pro odvětví:</t>
  </si>
  <si>
    <t>doprava</t>
  </si>
  <si>
    <t>školství</t>
  </si>
  <si>
    <t>zdravotnictví</t>
  </si>
  <si>
    <t>nedaňové příjmy</t>
  </si>
  <si>
    <t>Financování</t>
  </si>
  <si>
    <t xml:space="preserve">  z MPSV</t>
  </si>
  <si>
    <t>pronájem a nákl.na detaš.pracoviště</t>
  </si>
  <si>
    <t xml:space="preserve">vodohosp.akce dle vodního zákona </t>
  </si>
  <si>
    <t>kofinancování</t>
  </si>
  <si>
    <t>kap. 13 - evropská integrace</t>
  </si>
  <si>
    <t xml:space="preserve">Rozpočet </t>
  </si>
  <si>
    <t>rozpočtu</t>
  </si>
  <si>
    <t>odvody PO</t>
  </si>
  <si>
    <t xml:space="preserve">platby za odebr. mn.podzemní vody </t>
  </si>
  <si>
    <t xml:space="preserve">                        školství</t>
  </si>
  <si>
    <t xml:space="preserve">                        zdravotnictví</t>
  </si>
  <si>
    <t xml:space="preserve">                        kultury</t>
  </si>
  <si>
    <t xml:space="preserve">                        soc.věcí</t>
  </si>
  <si>
    <t xml:space="preserve">v tom: </t>
  </si>
  <si>
    <t>ROZPOČET KRÁLOVÉHRADECKÉHO KRAJE</t>
  </si>
  <si>
    <t>kap. 12 - správa majetku kraje</t>
  </si>
  <si>
    <t xml:space="preserve">příjmy v rámci FV </t>
  </si>
  <si>
    <t>přijaté úroky</t>
  </si>
  <si>
    <t>vratka návratné finanční výpomoci</t>
  </si>
  <si>
    <t xml:space="preserve">    v tom odvětví: dopravy</t>
  </si>
  <si>
    <t>program obnovy venkova</t>
  </si>
  <si>
    <t>cestovní ruch - kapitálové výdaje</t>
  </si>
  <si>
    <t>přijaté úvěry</t>
  </si>
  <si>
    <t xml:space="preserve">             kapitálové výdaje odvětví</t>
  </si>
  <si>
    <t xml:space="preserve">             kapitál.výdaje odvětví</t>
  </si>
  <si>
    <t>kap. 02 - životní prostředí a zemědělství</t>
  </si>
  <si>
    <t>kap. 50 - Fond rozvoje a reprodukce KHK</t>
  </si>
  <si>
    <t xml:space="preserve">  od krajů</t>
  </si>
  <si>
    <t>nájemné - SR</t>
  </si>
  <si>
    <t xml:space="preserve">             z toho: investiční půjčené prostředky</t>
  </si>
  <si>
    <t xml:space="preserve">   z toho: SÚS</t>
  </si>
  <si>
    <t xml:space="preserve">  z MMR</t>
  </si>
  <si>
    <t>kap. 39 - regionální rozvoj</t>
  </si>
  <si>
    <t xml:space="preserve">kap. 40 - územní plánování </t>
  </si>
  <si>
    <t xml:space="preserve">             běžné výdaje odvětví</t>
  </si>
  <si>
    <t xml:space="preserve">  z MPO</t>
  </si>
  <si>
    <t>kapitálové příjmy</t>
  </si>
  <si>
    <t xml:space="preserve">  odvětví školství</t>
  </si>
  <si>
    <t>preventivní programy - SR</t>
  </si>
  <si>
    <t>vzdělávání žáků - dětí azylantů a cizinců - SR</t>
  </si>
  <si>
    <t>podpora romských žáků SŠ - SR</t>
  </si>
  <si>
    <t xml:space="preserve">kap. 11 - cestovní ruch </t>
  </si>
  <si>
    <t xml:space="preserve">             nerozděleno</t>
  </si>
  <si>
    <t xml:space="preserve">   v tom: kapitálové výdaje odvětví</t>
  </si>
  <si>
    <t xml:space="preserve">pozměňovací </t>
  </si>
  <si>
    <t>návrhy</t>
  </si>
  <si>
    <t xml:space="preserve">            nerozděleno</t>
  </si>
  <si>
    <t xml:space="preserve">  v tom: běžné výdaje odvětví</t>
  </si>
  <si>
    <t xml:space="preserve">správa majetku kraje </t>
  </si>
  <si>
    <t xml:space="preserve">  v tom: kapitálové výdaje odvětví</t>
  </si>
  <si>
    <t xml:space="preserve">činnost krajského úřadu </t>
  </si>
  <si>
    <t>nerozděleno na odvětví</t>
  </si>
  <si>
    <t xml:space="preserve">  ze zahraničí</t>
  </si>
  <si>
    <t>projekt PILOT 1 a PILOT Z - SR</t>
  </si>
  <si>
    <t>podpora dalšího vzdělávání pedagog.prac. - SR</t>
  </si>
  <si>
    <t>GS 1.1 podpora podnikání ve vybraných obl. - SR</t>
  </si>
  <si>
    <t>EPC - bud.regionál.partnerství - SR</t>
  </si>
  <si>
    <t>předfin.Koneč.uživatelů v rámci GS v opatř.OP RLZ 3.3 - SR</t>
  </si>
  <si>
    <t>GS 4.2.2-Moder.a rozš.ubytovacích kapacit KHK-SR</t>
  </si>
  <si>
    <t>GS 3.2-Integr.obtíž.zaměst.skupin obyv.-SR</t>
  </si>
  <si>
    <t>GS 4.1.2-Medializace turistické nabídky - SR</t>
  </si>
  <si>
    <t xml:space="preserve">  odvětví zdravotnictví</t>
  </si>
  <si>
    <t xml:space="preserve">  z SFDI</t>
  </si>
  <si>
    <t>silnice II/319 RK-Rokytnice v OH - SR</t>
  </si>
  <si>
    <t>podp.výuky méně vyuč.cizích jazyků - SR</t>
  </si>
  <si>
    <t>náhradní stravování - SR</t>
  </si>
  <si>
    <t>zařízení pro děti vyžadující okamžitou pomoc - SR</t>
  </si>
  <si>
    <t xml:space="preserve">  z SFA</t>
  </si>
  <si>
    <t>GRIP IT - SR</t>
  </si>
  <si>
    <t>GS 3.1 - SR</t>
  </si>
  <si>
    <t>projekt "Učíme děti z cizích zemí česky" - SR</t>
  </si>
  <si>
    <t>nákup kompenzačních pomůcek - SR</t>
  </si>
  <si>
    <t>ICN - INTERREG III C - SR</t>
  </si>
  <si>
    <t>splátka dodavatelského úvěru</t>
  </si>
  <si>
    <t>Schválený</t>
  </si>
  <si>
    <t>rozpočet</t>
  </si>
  <si>
    <t>1. změna</t>
  </si>
  <si>
    <t>po 1. změně</t>
  </si>
  <si>
    <t xml:space="preserve">  z toho: CEP</t>
  </si>
  <si>
    <t xml:space="preserve">  v tom pro odvětví: zastupitelstvo kraje</t>
  </si>
  <si>
    <t xml:space="preserve">                           životní prostředí a zemědělství</t>
  </si>
  <si>
    <t xml:space="preserve">                           volnočasové aktivity</t>
  </si>
  <si>
    <t xml:space="preserve">                           cestovní ruch</t>
  </si>
  <si>
    <t xml:space="preserve">                           školství</t>
  </si>
  <si>
    <t xml:space="preserve">                           kultura</t>
  </si>
  <si>
    <t xml:space="preserve">                           sociální věci</t>
  </si>
  <si>
    <t xml:space="preserve">                           reginální rozvoj</t>
  </si>
  <si>
    <t>prům.zóna Solnice-Kvasiny-ost.kapitál.výdaje-úvěr</t>
  </si>
  <si>
    <t>prům.zóna Solnice-Kvasiny-ost.běž.výd.</t>
  </si>
  <si>
    <t>dosud nerozděleno</t>
  </si>
  <si>
    <t>rezerva (35 mil.Kč blokováno do 30.11.2007 pro kap.28)</t>
  </si>
  <si>
    <t xml:space="preserve">zastupitelstvo kraje </t>
  </si>
  <si>
    <t>neinvestiční přijaté transfery</t>
  </si>
  <si>
    <t xml:space="preserve">  neinv.transf.ze SR v rámci souhrn.dot.vztahu</t>
  </si>
  <si>
    <t>investiční přijaté transfery</t>
  </si>
  <si>
    <t>neinvestiční transfery a.s.</t>
  </si>
  <si>
    <t>neinvestiční transfery obcím</t>
  </si>
  <si>
    <t xml:space="preserve">   z toho: neinvestiční transfery obcím</t>
  </si>
  <si>
    <t xml:space="preserve">   z toho: investiční transfery obcím</t>
  </si>
  <si>
    <t>neinvestiční transfer s.r.o. OREDO</t>
  </si>
  <si>
    <t>investiční transfery PO</t>
  </si>
  <si>
    <t>neinv.transfer Regionální radě regionu soudržnosti SV</t>
  </si>
  <si>
    <t>GRIP IT - transfery ze zahraničí</t>
  </si>
  <si>
    <t>ICN - transfery ze zahraničí</t>
  </si>
  <si>
    <t>inv.transfer Regionální radě regionu soudržnosti SV</t>
  </si>
  <si>
    <t>investiční transfery obcím</t>
  </si>
  <si>
    <t xml:space="preserve">                        investiční transfery PO - CEP</t>
  </si>
  <si>
    <t>prům.zóna Solnice-Kvasiny-inv.transfery obcím-úvěr</t>
  </si>
  <si>
    <t xml:space="preserve">  v tom: PO - investiční transfery</t>
  </si>
  <si>
    <t xml:space="preserve">   v tom: PO - investiční transfery</t>
  </si>
  <si>
    <t xml:space="preserve">             investiční transfery a.s.</t>
  </si>
  <si>
    <t xml:space="preserve">             PO - investiční transfery</t>
  </si>
  <si>
    <t xml:space="preserve">                  - neinvestiční příspěvky</t>
  </si>
  <si>
    <t>zapojení výsledku hospodaření</t>
  </si>
  <si>
    <t>konsolidace výdajů - příděl do soc.fondu</t>
  </si>
  <si>
    <t>Výdaje celkem po konsolidaci</t>
  </si>
  <si>
    <t>zapojení zůstatku sociálního fondu z min. let</t>
  </si>
  <si>
    <t>kap. 20 - použití sociálního fondu - běž.výdaje</t>
  </si>
  <si>
    <t xml:space="preserve">  ze SFŽP</t>
  </si>
  <si>
    <t>splátky půjčených prostředků</t>
  </si>
  <si>
    <t>nedaňové příjmy odv.život.prostř. a zemědělství</t>
  </si>
  <si>
    <t>AC  - vybavení nábytkem,služby a provozní vlivy</t>
  </si>
  <si>
    <t>zabránění vzniku, rozvoje a šíření TBC - SR</t>
  </si>
  <si>
    <t>Technická pomoc - SR</t>
  </si>
  <si>
    <t>OP RLZ 2.1 - SR</t>
  </si>
  <si>
    <t>OP RLZ 2.1 - z dotace SR z r.2006</t>
  </si>
  <si>
    <t>neinvestiční půjčené prostředky</t>
  </si>
  <si>
    <t>investiční transfery a.s.</t>
  </si>
  <si>
    <t>OP RLZ 3.3 Rozv.kapacit dalšího profes.vzd.-SR r.2006</t>
  </si>
  <si>
    <t>inv.půjčené prostř.RR regionu soudržnosti SV</t>
  </si>
  <si>
    <t>neinvestiční půjčené prostředky a. s.</t>
  </si>
  <si>
    <t>životní prostř.a zem. - inv.transfery a.s.</t>
  </si>
  <si>
    <t>NA ROK 2007</t>
  </si>
  <si>
    <t>kap. 09 - volnočasové aktivity</t>
  </si>
  <si>
    <t>neinvestiční půjčené prostředky a.s. SÚS</t>
  </si>
  <si>
    <t>průmyslová zóna Solnice-Kvasiny-ost.kapitál.výd.-úvěr</t>
  </si>
  <si>
    <t>prům.zóna Solnice-Kvasiny-ostat.kap.výd.-úvěr</t>
  </si>
  <si>
    <t>2. změna</t>
  </si>
  <si>
    <t>po 2. změně</t>
  </si>
  <si>
    <t>NÁVRH NA ZMĚNU ROZPOČTU</t>
  </si>
  <si>
    <t>(v tis. Kč)</t>
  </si>
  <si>
    <t xml:space="preserve">  ze SÚJB</t>
  </si>
  <si>
    <t>neinvestiční transfery ze SR prostř.čerp.účtů</t>
  </si>
  <si>
    <t>investiční transfery ze SR prostř.čerp.účtů</t>
  </si>
  <si>
    <t>nedaňové příjmy odv.zdravotnictví</t>
  </si>
  <si>
    <t xml:space="preserve">  odvětví dopravy</t>
  </si>
  <si>
    <t>z toho:</t>
  </si>
  <si>
    <t>daň z příjmů právnických osob za kraje</t>
  </si>
  <si>
    <t>splátky půjček (SFDI)</t>
  </si>
  <si>
    <t>dotace ze SR poskytnutá prostř.čerp.účtů</t>
  </si>
  <si>
    <t xml:space="preserve">             neinvestiční půjčené prostředky</t>
  </si>
  <si>
    <t>dot.ze SR poskytnuté prostř.čerpacích účtů</t>
  </si>
  <si>
    <t xml:space="preserve">     - blokace rezervy  zrušena 2. změnou rozpočtu</t>
  </si>
  <si>
    <t>úhrada daně z příjmů právnických osob za kraj</t>
  </si>
  <si>
    <t>vyhledávání budov se zvýš.výskytem radonu - SR</t>
  </si>
  <si>
    <t xml:space="preserve">            kapitálové výdaje odvětví</t>
  </si>
  <si>
    <t xml:space="preserve">                   - neinvestiční transfery</t>
  </si>
  <si>
    <t xml:space="preserve">  odvětví evropské integrace</t>
  </si>
  <si>
    <t xml:space="preserve">  odvětví sociálních věcí</t>
  </si>
  <si>
    <t>splátka leasingu RC NP</t>
  </si>
  <si>
    <t>předfinancování RC NP</t>
  </si>
  <si>
    <t xml:space="preserve">                  - neinvestiční transfery</t>
  </si>
  <si>
    <t xml:space="preserve">  z MK</t>
  </si>
  <si>
    <t>kulturní aktivity - SR</t>
  </si>
  <si>
    <t>projekty v rámci VISK - SR</t>
  </si>
  <si>
    <t xml:space="preserve">            kapitálové výd.odv.-vybavení RC NP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</si>
</sst>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\ _K_č"/>
    <numFmt numFmtId="166" formatCode="#,##0.00\ _K_č"/>
    <numFmt numFmtId="167" formatCode="#,##0.000\ _K_č"/>
    <numFmt numFmtId="168" formatCode="0.0"/>
    <numFmt numFmtId="169" formatCode="#,##0.0"/>
    <numFmt numFmtId="170" formatCode="_-* #,##0.0\ _K_č_-;\-* #,##0.0\ _K_č_-;_-* &quot;-&quot;?\ _K_č_-;_-@_-"/>
    <numFmt numFmtId="171" formatCode="#,##0.0_ ;\-#,##0.0\ 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7">
    <xf numFmtId="3" fontId="0" fillId="0" borderId="0" xfId="0" applyAlignment="1">
      <alignment/>
    </xf>
    <xf numFmtId="3" fontId="1" fillId="0" borderId="1" xfId="0" applyFont="1" applyBorder="1" applyAlignment="1">
      <alignment horizontal="left" vertical="center"/>
    </xf>
    <xf numFmtId="3" fontId="1" fillId="0" borderId="2" xfId="0" applyFont="1" applyBorder="1" applyAlignment="1">
      <alignment/>
    </xf>
    <xf numFmtId="3" fontId="3" fillId="0" borderId="2" xfId="0" applyFont="1" applyBorder="1" applyAlignment="1">
      <alignment/>
    </xf>
    <xf numFmtId="3" fontId="0" fillId="0" borderId="2" xfId="0" applyBorder="1" applyAlignment="1">
      <alignment/>
    </xf>
    <xf numFmtId="3" fontId="0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0" fillId="0" borderId="3" xfId="0" applyFont="1" applyBorder="1" applyAlignment="1">
      <alignment/>
    </xf>
    <xf numFmtId="3" fontId="0" fillId="0" borderId="2" xfId="0" applyFont="1" applyBorder="1" applyAlignment="1">
      <alignment/>
    </xf>
    <xf numFmtId="3" fontId="2" fillId="0" borderId="0" xfId="0" applyFont="1" applyAlignment="1">
      <alignment horizontal="center" vertical="center"/>
    </xf>
    <xf numFmtId="3" fontId="3" fillId="0" borderId="2" xfId="0" applyFont="1" applyBorder="1" applyAlignment="1">
      <alignment/>
    </xf>
    <xf numFmtId="3" fontId="2" fillId="0" borderId="4" xfId="0" applyFont="1" applyBorder="1" applyAlignment="1">
      <alignment vertical="center"/>
    </xf>
    <xf numFmtId="3" fontId="1" fillId="0" borderId="2" xfId="0" applyFont="1" applyBorder="1" applyAlignment="1">
      <alignment/>
    </xf>
    <xf numFmtId="3" fontId="4" fillId="0" borderId="2" xfId="0" applyFont="1" applyBorder="1" applyAlignment="1">
      <alignment/>
    </xf>
    <xf numFmtId="3" fontId="1" fillId="0" borderId="0" xfId="0" applyFont="1" applyAlignment="1">
      <alignment/>
    </xf>
    <xf numFmtId="3" fontId="0" fillId="0" borderId="0" xfId="0" applyFont="1" applyBorder="1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18" applyNumberFormat="1" applyAlignment="1">
      <alignment/>
    </xf>
    <xf numFmtId="165" fontId="1" fillId="0" borderId="1" xfId="18" applyNumberFormat="1" applyFont="1" applyBorder="1" applyAlignment="1">
      <alignment horizontal="center"/>
    </xf>
    <xf numFmtId="165" fontId="1" fillId="0" borderId="5" xfId="18" applyNumberFormat="1" applyFont="1" applyBorder="1" applyAlignment="1">
      <alignment horizontal="center"/>
    </xf>
    <xf numFmtId="165" fontId="1" fillId="0" borderId="2" xfId="18" applyNumberFormat="1" applyFont="1" applyBorder="1" applyAlignment="1">
      <alignment horizontal="center"/>
    </xf>
    <xf numFmtId="165" fontId="0" fillId="0" borderId="0" xfId="18" applyNumberFormat="1" applyFont="1" applyBorder="1" applyAlignment="1">
      <alignment vertical="center"/>
    </xf>
    <xf numFmtId="165" fontId="2" fillId="0" borderId="0" xfId="18" applyNumberFormat="1" applyFont="1" applyBorder="1" applyAlignment="1">
      <alignment vertical="center"/>
    </xf>
    <xf numFmtId="3" fontId="0" fillId="0" borderId="0" xfId="0" applyFont="1" applyAlignment="1">
      <alignment/>
    </xf>
    <xf numFmtId="165" fontId="1" fillId="0" borderId="0" xfId="18" applyNumberFormat="1" applyFont="1" applyAlignment="1">
      <alignment/>
    </xf>
    <xf numFmtId="3" fontId="2" fillId="0" borderId="6" xfId="0" applyFont="1" applyBorder="1" applyAlignment="1">
      <alignment vertical="center"/>
    </xf>
    <xf numFmtId="3" fontId="0" fillId="0" borderId="7" xfId="0" applyFont="1" applyBorder="1" applyAlignment="1">
      <alignment vertical="center"/>
    </xf>
    <xf numFmtId="3" fontId="0" fillId="0" borderId="8" xfId="0" applyFont="1" applyBorder="1" applyAlignment="1">
      <alignment vertical="center"/>
    </xf>
    <xf numFmtId="3" fontId="2" fillId="0" borderId="7" xfId="0" applyFont="1" applyBorder="1" applyAlignment="1">
      <alignment vertical="center"/>
    </xf>
    <xf numFmtId="3" fontId="2" fillId="0" borderId="9" xfId="0" applyFont="1" applyBorder="1" applyAlignment="1">
      <alignment vertical="center"/>
    </xf>
    <xf numFmtId="3" fontId="9" fillId="0" borderId="2" xfId="0" applyFont="1" applyBorder="1" applyAlignment="1">
      <alignment/>
    </xf>
    <xf numFmtId="3" fontId="1" fillId="0" borderId="2" xfId="0" applyFont="1" applyFill="1" applyBorder="1" applyAlignment="1">
      <alignment/>
    </xf>
    <xf numFmtId="3" fontId="0" fillId="0" borderId="5" xfId="0" applyFont="1" applyBorder="1" applyAlignment="1">
      <alignment/>
    </xf>
    <xf numFmtId="3" fontId="1" fillId="0" borderId="6" xfId="0" applyFont="1" applyBorder="1" applyAlignment="1">
      <alignment vertical="center"/>
    </xf>
    <xf numFmtId="3" fontId="7" fillId="0" borderId="6" xfId="0" applyFont="1" applyBorder="1" applyAlignment="1">
      <alignment vertical="center"/>
    </xf>
    <xf numFmtId="3" fontId="0" fillId="0" borderId="0" xfId="0" applyAlignment="1">
      <alignment horizontal="right"/>
    </xf>
    <xf numFmtId="3" fontId="0" fillId="0" borderId="5" xfId="0" applyBorder="1" applyAlignment="1">
      <alignment/>
    </xf>
    <xf numFmtId="3" fontId="9" fillId="0" borderId="5" xfId="0" applyFont="1" applyBorder="1" applyAlignment="1">
      <alignment/>
    </xf>
    <xf numFmtId="3" fontId="1" fillId="0" borderId="4" xfId="0" applyFont="1" applyBorder="1" applyAlignment="1">
      <alignment/>
    </xf>
    <xf numFmtId="171" fontId="1" fillId="0" borderId="2" xfId="18" applyNumberFormat="1" applyFont="1" applyBorder="1" applyAlignment="1">
      <alignment/>
    </xf>
    <xf numFmtId="171" fontId="0" fillId="0" borderId="2" xfId="18" applyNumberFormat="1" applyFont="1" applyBorder="1" applyAlignment="1">
      <alignment/>
    </xf>
    <xf numFmtId="171" fontId="1" fillId="0" borderId="2" xfId="18" applyNumberFormat="1" applyFont="1" applyBorder="1" applyAlignment="1">
      <alignment/>
    </xf>
    <xf numFmtId="171" fontId="0" fillId="0" borderId="2" xfId="18" applyNumberFormat="1" applyBorder="1" applyAlignment="1">
      <alignment/>
    </xf>
    <xf numFmtId="171" fontId="2" fillId="0" borderId="4" xfId="18" applyNumberFormat="1" applyFont="1" applyBorder="1" applyAlignment="1">
      <alignment vertical="center"/>
    </xf>
    <xf numFmtId="171" fontId="4" fillId="0" borderId="2" xfId="18" applyNumberFormat="1" applyFont="1" applyBorder="1" applyAlignment="1">
      <alignment/>
    </xf>
    <xf numFmtId="171" fontId="4" fillId="0" borderId="2" xfId="18" applyNumberFormat="1" applyFont="1" applyBorder="1" applyAlignment="1">
      <alignment/>
    </xf>
    <xf numFmtId="171" fontId="0" fillId="0" borderId="5" xfId="18" applyNumberFormat="1" applyBorder="1" applyAlignment="1">
      <alignment/>
    </xf>
    <xf numFmtId="171" fontId="0" fillId="0" borderId="3" xfId="18" applyNumberFormat="1" applyBorder="1" applyAlignment="1">
      <alignment/>
    </xf>
    <xf numFmtId="171" fontId="0" fillId="0" borderId="5" xfId="18" applyNumberFormat="1" applyFont="1" applyBorder="1" applyAlignment="1">
      <alignment/>
    </xf>
    <xf numFmtId="171" fontId="1" fillId="0" borderId="10" xfId="18" applyNumberFormat="1" applyFont="1" applyBorder="1" applyAlignment="1">
      <alignment/>
    </xf>
    <xf numFmtId="171" fontId="7" fillId="0" borderId="11" xfId="18" applyNumberFormat="1" applyFont="1" applyBorder="1" applyAlignment="1">
      <alignment vertical="center"/>
    </xf>
    <xf numFmtId="171" fontId="7" fillId="0" borderId="12" xfId="18" applyNumberFormat="1" applyFont="1" applyBorder="1" applyAlignment="1">
      <alignment vertical="center"/>
    </xf>
    <xf numFmtId="171" fontId="1" fillId="0" borderId="11" xfId="18" applyNumberFormat="1" applyFont="1" applyBorder="1" applyAlignment="1">
      <alignment vertical="center"/>
    </xf>
    <xf numFmtId="171" fontId="1" fillId="0" borderId="12" xfId="18" applyNumberFormat="1" applyFont="1" applyBorder="1" applyAlignment="1">
      <alignment vertical="center"/>
    </xf>
    <xf numFmtId="171" fontId="2" fillId="0" borderId="11" xfId="18" applyNumberFormat="1" applyFont="1" applyBorder="1" applyAlignment="1">
      <alignment vertical="center"/>
    </xf>
    <xf numFmtId="171" fontId="2" fillId="0" borderId="12" xfId="18" applyNumberFormat="1" applyFont="1" applyBorder="1" applyAlignment="1">
      <alignment vertical="center"/>
    </xf>
    <xf numFmtId="171" fontId="7" fillId="0" borderId="13" xfId="18" applyNumberFormat="1" applyFont="1" applyBorder="1" applyAlignment="1">
      <alignment vertical="center"/>
    </xf>
    <xf numFmtId="171" fontId="7" fillId="0" borderId="14" xfId="18" applyNumberFormat="1" applyFont="1" applyBorder="1" applyAlignment="1">
      <alignment vertical="center"/>
    </xf>
    <xf numFmtId="171" fontId="7" fillId="0" borderId="2" xfId="18" applyNumberFormat="1" applyFont="1" applyBorder="1" applyAlignment="1">
      <alignment vertical="center"/>
    </xf>
    <xf numFmtId="171" fontId="7" fillId="0" borderId="15" xfId="18" applyNumberFormat="1" applyFont="1" applyBorder="1" applyAlignment="1">
      <alignment vertical="center"/>
    </xf>
    <xf numFmtId="171" fontId="2" fillId="0" borderId="13" xfId="18" applyNumberFormat="1" applyFont="1" applyBorder="1" applyAlignment="1">
      <alignment vertical="center"/>
    </xf>
    <xf numFmtId="171" fontId="2" fillId="0" borderId="14" xfId="18" applyNumberFormat="1" applyFont="1" applyBorder="1" applyAlignment="1">
      <alignment vertical="center"/>
    </xf>
    <xf numFmtId="171" fontId="2" fillId="0" borderId="2" xfId="18" applyNumberFormat="1" applyFont="1" applyBorder="1" applyAlignment="1">
      <alignment vertical="center"/>
    </xf>
    <xf numFmtId="171" fontId="8" fillId="0" borderId="16" xfId="18" applyNumberFormat="1" applyFont="1" applyBorder="1" applyAlignment="1">
      <alignment vertical="center"/>
    </xf>
    <xf numFmtId="171" fontId="8" fillId="0" borderId="2" xfId="18" applyNumberFormat="1" applyFont="1" applyBorder="1" applyAlignment="1">
      <alignment vertical="center"/>
    </xf>
    <xf numFmtId="171" fontId="8" fillId="0" borderId="4" xfId="18" applyNumberFormat="1" applyFont="1" applyBorder="1" applyAlignment="1">
      <alignment vertical="center"/>
    </xf>
    <xf numFmtId="171" fontId="8" fillId="0" borderId="17" xfId="18" applyNumberFormat="1" applyFont="1" applyBorder="1" applyAlignment="1">
      <alignment vertical="center"/>
    </xf>
    <xf numFmtId="3" fontId="0" fillId="0" borderId="5" xfId="0" applyFont="1" applyBorder="1" applyAlignment="1">
      <alignment/>
    </xf>
    <xf numFmtId="171" fontId="0" fillId="0" borderId="18" xfId="18" applyNumberFormat="1" applyBorder="1" applyAlignment="1">
      <alignment/>
    </xf>
    <xf numFmtId="171" fontId="0" fillId="0" borderId="5" xfId="18" applyNumberFormat="1" applyFont="1" applyBorder="1" applyAlignment="1">
      <alignment/>
    </xf>
    <xf numFmtId="171" fontId="1" fillId="0" borderId="5" xfId="18" applyNumberFormat="1" applyFont="1" applyBorder="1" applyAlignment="1">
      <alignment/>
    </xf>
    <xf numFmtId="3" fontId="1" fillId="0" borderId="1" xfId="0" applyFont="1" applyBorder="1" applyAlignment="1">
      <alignment horizontal="center" vertical="center"/>
    </xf>
    <xf numFmtId="3" fontId="0" fillId="0" borderId="5" xfId="0" applyBorder="1" applyAlignment="1">
      <alignment horizontal="center" vertical="center"/>
    </xf>
    <xf numFmtId="3" fontId="2" fillId="0" borderId="0" xfId="0" applyFont="1" applyAlignment="1">
      <alignment horizontal="center"/>
    </xf>
    <xf numFmtId="164" fontId="2" fillId="0" borderId="0" xfId="18" applyFont="1" applyAlignment="1">
      <alignment horizontal="center"/>
    </xf>
    <xf numFmtId="3" fontId="7" fillId="0" borderId="0" xfId="0" applyFont="1" applyAlignment="1">
      <alignment horizontal="center"/>
    </xf>
    <xf numFmtId="165" fontId="0" fillId="0" borderId="0" xfId="0" applyNumberForma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5"/>
  <sheetViews>
    <sheetView tabSelected="1" workbookViewId="0" topLeftCell="A1">
      <pane xSplit="2" ySplit="19" topLeftCell="E310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K316" sqref="K316"/>
    </sheetView>
  </sheetViews>
  <sheetFormatPr defaultColWidth="9.00390625" defaultRowHeight="12.75"/>
  <cols>
    <col min="1" max="1" width="43.75390625" style="0" customWidth="1"/>
    <col min="2" max="2" width="14.25390625" style="17" customWidth="1"/>
    <col min="3" max="3" width="14.25390625" style="17" hidden="1" customWidth="1"/>
    <col min="4" max="4" width="13.75390625" style="17" hidden="1" customWidth="1"/>
    <col min="5" max="5" width="14.25390625" style="17" customWidth="1"/>
    <col min="6" max="6" width="13.75390625" style="0" customWidth="1"/>
    <col min="7" max="7" width="13.75390625" style="0" hidden="1" customWidth="1"/>
    <col min="8" max="8" width="13.75390625" style="0" customWidth="1"/>
  </cols>
  <sheetData>
    <row r="1" ht="12.75">
      <c r="E1" s="35"/>
    </row>
    <row r="2" spans="1:8" ht="19.5" customHeight="1">
      <c r="A2" s="73" t="s">
        <v>66</v>
      </c>
      <c r="B2" s="73"/>
      <c r="C2" s="73"/>
      <c r="D2" s="73"/>
      <c r="E2" s="73"/>
      <c r="F2" s="73"/>
      <c r="G2" s="73"/>
      <c r="H2" s="73"/>
    </row>
    <row r="3" spans="1:8" ht="19.5" customHeight="1">
      <c r="A3" s="74" t="s">
        <v>184</v>
      </c>
      <c r="B3" s="74"/>
      <c r="C3" s="74"/>
      <c r="D3" s="74"/>
      <c r="E3" s="74"/>
      <c r="F3" s="74"/>
      <c r="G3" s="74"/>
      <c r="H3" s="74"/>
    </row>
    <row r="4" spans="1:8" ht="19.5" customHeight="1">
      <c r="A4" s="75" t="s">
        <v>191</v>
      </c>
      <c r="B4" s="75"/>
      <c r="C4" s="75"/>
      <c r="D4" s="75"/>
      <c r="E4" s="75"/>
      <c r="F4" s="75"/>
      <c r="G4" s="75"/>
      <c r="H4" s="75"/>
    </row>
    <row r="5" spans="1:8" ht="19.5" customHeight="1">
      <c r="A5" s="76" t="s">
        <v>192</v>
      </c>
      <c r="B5" s="76"/>
      <c r="C5" s="76"/>
      <c r="D5" s="76"/>
      <c r="E5" s="76"/>
      <c r="F5" s="76"/>
      <c r="G5" s="76"/>
      <c r="H5" s="76"/>
    </row>
    <row r="6" spans="1:5" ht="15" customHeight="1">
      <c r="A6" s="9"/>
      <c r="B6" s="16"/>
      <c r="C6" s="16"/>
      <c r="D6" s="16"/>
      <c r="E6" s="16"/>
    </row>
    <row r="7" spans="1:8" ht="12.75" customHeight="1">
      <c r="A7" s="71" t="s">
        <v>3</v>
      </c>
      <c r="B7" s="18" t="s">
        <v>126</v>
      </c>
      <c r="C7" s="18" t="s">
        <v>128</v>
      </c>
      <c r="D7" s="18" t="s">
        <v>96</v>
      </c>
      <c r="E7" s="18" t="s">
        <v>57</v>
      </c>
      <c r="F7" s="18" t="s">
        <v>189</v>
      </c>
      <c r="G7" s="18" t="s">
        <v>96</v>
      </c>
      <c r="H7" s="18" t="s">
        <v>57</v>
      </c>
    </row>
    <row r="8" spans="1:8" ht="12.75" customHeight="1">
      <c r="A8" s="72"/>
      <c r="B8" s="19" t="s">
        <v>127</v>
      </c>
      <c r="C8" s="19" t="s">
        <v>58</v>
      </c>
      <c r="D8" s="19" t="s">
        <v>97</v>
      </c>
      <c r="E8" s="19" t="s">
        <v>129</v>
      </c>
      <c r="F8" s="19" t="s">
        <v>58</v>
      </c>
      <c r="G8" s="19" t="s">
        <v>97</v>
      </c>
      <c r="H8" s="19" t="s">
        <v>190</v>
      </c>
    </row>
    <row r="9" spans="1:8" ht="15" customHeight="1">
      <c r="A9" s="1" t="s">
        <v>4</v>
      </c>
      <c r="B9" s="18"/>
      <c r="C9" s="20"/>
      <c r="D9" s="20"/>
      <c r="E9" s="18"/>
      <c r="F9" s="20"/>
      <c r="G9" s="20"/>
      <c r="H9" s="18"/>
    </row>
    <row r="10" spans="1:8" ht="12.75">
      <c r="A10" s="2" t="s">
        <v>0</v>
      </c>
      <c r="B10" s="39">
        <v>2650000</v>
      </c>
      <c r="C10" s="39"/>
      <c r="D10" s="39"/>
      <c r="E10" s="39">
        <f>B10+C10+D10</f>
        <v>2650000</v>
      </c>
      <c r="F10" s="39">
        <v>16190</v>
      </c>
      <c r="G10" s="39"/>
      <c r="H10" s="39">
        <f>E10+F10+G10</f>
        <v>2666190</v>
      </c>
    </row>
    <row r="11" spans="1:8" ht="12.75">
      <c r="A11" s="10" t="s">
        <v>198</v>
      </c>
      <c r="B11" s="39"/>
      <c r="C11" s="39"/>
      <c r="D11" s="39"/>
      <c r="E11" s="39"/>
      <c r="F11" s="39"/>
      <c r="G11" s="39"/>
      <c r="H11" s="39"/>
    </row>
    <row r="12" spans="1:8" ht="12.75">
      <c r="A12" s="8" t="s">
        <v>199</v>
      </c>
      <c r="B12" s="39"/>
      <c r="C12" s="39"/>
      <c r="D12" s="39"/>
      <c r="E12" s="39"/>
      <c r="F12" s="40">
        <v>16190</v>
      </c>
      <c r="G12" s="39"/>
      <c r="H12" s="40">
        <f>E12+F12+G12</f>
        <v>16190</v>
      </c>
    </row>
    <row r="13" spans="1:8" ht="12.75">
      <c r="A13" s="2" t="s">
        <v>50</v>
      </c>
      <c r="B13" s="39">
        <f>SUM(B15:B21)</f>
        <v>182753</v>
      </c>
      <c r="C13" s="39">
        <f>SUM(C15:C21)</f>
        <v>58889</v>
      </c>
      <c r="D13" s="39">
        <f>SUM(D15:D21)</f>
        <v>2775.4</v>
      </c>
      <c r="E13" s="39">
        <f>B13+C13+D13</f>
        <v>244417.4</v>
      </c>
      <c r="F13" s="39">
        <f>SUM(F15:F21)</f>
        <v>23658.8</v>
      </c>
      <c r="G13" s="39">
        <f>SUM(G15:G21)</f>
        <v>0</v>
      </c>
      <c r="H13" s="39">
        <f>E13+F13+G13</f>
        <v>268076.2</v>
      </c>
    </row>
    <row r="14" spans="1:8" ht="9.75" customHeight="1">
      <c r="A14" s="10" t="s">
        <v>65</v>
      </c>
      <c r="B14" s="39"/>
      <c r="C14" s="39"/>
      <c r="D14" s="39"/>
      <c r="E14" s="39"/>
      <c r="F14" s="39"/>
      <c r="G14" s="39"/>
      <c r="H14" s="39"/>
    </row>
    <row r="15" spans="1:8" ht="12.75">
      <c r="A15" s="8" t="s">
        <v>69</v>
      </c>
      <c r="B15" s="40">
        <v>9000</v>
      </c>
      <c r="C15" s="40"/>
      <c r="D15" s="40"/>
      <c r="E15" s="40">
        <f>B15+C15</f>
        <v>9000</v>
      </c>
      <c r="F15" s="40"/>
      <c r="G15" s="40"/>
      <c r="H15" s="40">
        <f aca="true" t="shared" si="0" ref="H15:H27">E15+F15+G15</f>
        <v>9000</v>
      </c>
    </row>
    <row r="16" spans="1:8" ht="12.75">
      <c r="A16" s="8" t="s">
        <v>171</v>
      </c>
      <c r="B16" s="40"/>
      <c r="C16" s="40">
        <v>50000</v>
      </c>
      <c r="D16" s="40"/>
      <c r="E16" s="40">
        <f>B16+C16</f>
        <v>50000</v>
      </c>
      <c r="F16" s="40"/>
      <c r="G16" s="40"/>
      <c r="H16" s="40">
        <f t="shared" si="0"/>
        <v>50000</v>
      </c>
    </row>
    <row r="17" spans="1:8" ht="12.75">
      <c r="A17" s="8" t="s">
        <v>70</v>
      </c>
      <c r="B17" s="40">
        <v>4187</v>
      </c>
      <c r="C17" s="40"/>
      <c r="D17" s="40"/>
      <c r="E17" s="40">
        <f>B17+C17</f>
        <v>4187</v>
      </c>
      <c r="F17" s="40">
        <v>1000</v>
      </c>
      <c r="G17" s="40"/>
      <c r="H17" s="40">
        <f t="shared" si="0"/>
        <v>5187</v>
      </c>
    </row>
    <row r="18" spans="1:8" ht="12.75">
      <c r="A18" s="8" t="s">
        <v>60</v>
      </c>
      <c r="B18" s="40">
        <v>40000</v>
      </c>
      <c r="C18" s="40"/>
      <c r="D18" s="40"/>
      <c r="E18" s="40">
        <f>B18+C18</f>
        <v>40000</v>
      </c>
      <c r="F18" s="40"/>
      <c r="G18" s="40"/>
      <c r="H18" s="40">
        <f t="shared" si="0"/>
        <v>40000</v>
      </c>
    </row>
    <row r="19" spans="1:8" ht="12.75">
      <c r="A19" s="8" t="s">
        <v>172</v>
      </c>
      <c r="B19" s="40"/>
      <c r="C19" s="40">
        <v>9253.2</v>
      </c>
      <c r="D19" s="40"/>
      <c r="E19" s="40">
        <f>B19+C19</f>
        <v>9253.2</v>
      </c>
      <c r="F19" s="40"/>
      <c r="G19" s="40"/>
      <c r="H19" s="40">
        <f t="shared" si="0"/>
        <v>9253.2</v>
      </c>
    </row>
    <row r="20" spans="1:8" ht="12.75">
      <c r="A20" s="8" t="s">
        <v>196</v>
      </c>
      <c r="B20" s="40"/>
      <c r="C20" s="40"/>
      <c r="D20" s="40"/>
      <c r="E20" s="40"/>
      <c r="F20" s="40">
        <v>22658.8</v>
      </c>
      <c r="G20" s="40"/>
      <c r="H20" s="40">
        <f t="shared" si="0"/>
        <v>22658.8</v>
      </c>
    </row>
    <row r="21" spans="1:8" ht="12.75">
      <c r="A21" s="8" t="s">
        <v>59</v>
      </c>
      <c r="B21" s="40">
        <f>SUM(B22:B26)</f>
        <v>129566</v>
      </c>
      <c r="C21" s="40">
        <f>SUM(C22:C26)</f>
        <v>-364.2</v>
      </c>
      <c r="D21" s="40">
        <f>SUM(D22:D26)</f>
        <v>2775.4</v>
      </c>
      <c r="E21" s="40">
        <f>B21+C21+D21</f>
        <v>131977.2</v>
      </c>
      <c r="F21" s="40"/>
      <c r="G21" s="40"/>
      <c r="H21" s="40">
        <f t="shared" si="0"/>
        <v>131977.2</v>
      </c>
    </row>
    <row r="22" spans="1:8" ht="12.75">
      <c r="A22" s="8" t="s">
        <v>71</v>
      </c>
      <c r="B22" s="40">
        <v>52000</v>
      </c>
      <c r="C22" s="40"/>
      <c r="D22" s="40"/>
      <c r="E22" s="40">
        <f>B22+C22</f>
        <v>52000</v>
      </c>
      <c r="F22" s="40"/>
      <c r="G22" s="40"/>
      <c r="H22" s="40">
        <f t="shared" si="0"/>
        <v>52000</v>
      </c>
    </row>
    <row r="23" spans="1:8" ht="12.75">
      <c r="A23" s="8" t="s">
        <v>61</v>
      </c>
      <c r="B23" s="40">
        <v>26718</v>
      </c>
      <c r="C23" s="40"/>
      <c r="D23" s="40">
        <v>2775.4</v>
      </c>
      <c r="E23" s="40">
        <f>B23+C23+D23</f>
        <v>29493.4</v>
      </c>
      <c r="F23" s="40"/>
      <c r="G23" s="40"/>
      <c r="H23" s="40">
        <f t="shared" si="0"/>
        <v>29493.4</v>
      </c>
    </row>
    <row r="24" spans="1:8" ht="12.75">
      <c r="A24" s="8" t="s">
        <v>62</v>
      </c>
      <c r="B24" s="40">
        <v>25574</v>
      </c>
      <c r="C24" s="40"/>
      <c r="D24" s="40"/>
      <c r="E24" s="40">
        <f>B24+C24+D24</f>
        <v>25574</v>
      </c>
      <c r="F24" s="40"/>
      <c r="G24" s="40"/>
      <c r="H24" s="40">
        <f t="shared" si="0"/>
        <v>25574</v>
      </c>
    </row>
    <row r="25" spans="1:8" ht="12.75">
      <c r="A25" s="8" t="s">
        <v>63</v>
      </c>
      <c r="B25" s="40">
        <v>4720</v>
      </c>
      <c r="C25" s="40"/>
      <c r="D25" s="40"/>
      <c r="E25" s="40">
        <f>B25+C25</f>
        <v>4720</v>
      </c>
      <c r="F25" s="40"/>
      <c r="G25" s="40"/>
      <c r="H25" s="40">
        <f t="shared" si="0"/>
        <v>4720</v>
      </c>
    </row>
    <row r="26" spans="1:8" ht="12.75">
      <c r="A26" s="8" t="s">
        <v>64</v>
      </c>
      <c r="B26" s="40">
        <v>20554</v>
      </c>
      <c r="C26" s="40">
        <v>-364.2</v>
      </c>
      <c r="D26" s="40"/>
      <c r="E26" s="40">
        <f>B26+C26</f>
        <v>20189.8</v>
      </c>
      <c r="F26" s="40"/>
      <c r="G26" s="40"/>
      <c r="H26" s="40">
        <f t="shared" si="0"/>
        <v>20189.8</v>
      </c>
    </row>
    <row r="27" spans="1:8" ht="13.5" customHeight="1">
      <c r="A27" s="12" t="s">
        <v>88</v>
      </c>
      <c r="B27" s="41">
        <f>B29+B31</f>
        <v>0</v>
      </c>
      <c r="C27" s="41">
        <f>C29+C31</f>
        <v>6500</v>
      </c>
      <c r="D27" s="41">
        <f>D29+D31</f>
        <v>50</v>
      </c>
      <c r="E27" s="39">
        <f>B27+C27+D27</f>
        <v>6550</v>
      </c>
      <c r="F27" s="41">
        <f>SUM(F29:F31)</f>
        <v>9100</v>
      </c>
      <c r="G27" s="41">
        <f>G29+G31</f>
        <v>0</v>
      </c>
      <c r="H27" s="39">
        <f t="shared" si="0"/>
        <v>15650</v>
      </c>
    </row>
    <row r="28" spans="1:8" ht="9.75" customHeight="1">
      <c r="A28" s="10" t="s">
        <v>65</v>
      </c>
      <c r="B28" s="40"/>
      <c r="C28" s="40"/>
      <c r="D28" s="40"/>
      <c r="E28" s="40"/>
      <c r="F28" s="40"/>
      <c r="G28" s="40"/>
      <c r="H28" s="40"/>
    </row>
    <row r="29" spans="1:8" ht="12.75">
      <c r="A29" s="8" t="s">
        <v>89</v>
      </c>
      <c r="B29" s="40"/>
      <c r="C29" s="40"/>
      <c r="D29" s="40">
        <v>50</v>
      </c>
      <c r="E29" s="40">
        <f>B29+C29+D29</f>
        <v>50</v>
      </c>
      <c r="F29" s="40"/>
      <c r="G29" s="40"/>
      <c r="H29" s="40">
        <f>E29+F29+G29</f>
        <v>50</v>
      </c>
    </row>
    <row r="30" spans="1:8" ht="12.75">
      <c r="A30" s="8" t="s">
        <v>197</v>
      </c>
      <c r="B30" s="40"/>
      <c r="C30" s="40"/>
      <c r="D30" s="40"/>
      <c r="E30" s="40"/>
      <c r="F30" s="40">
        <v>9100</v>
      </c>
      <c r="G30" s="40"/>
      <c r="H30" s="40">
        <f>E30+F30+G30</f>
        <v>9100</v>
      </c>
    </row>
    <row r="31" spans="1:8" ht="12.75">
      <c r="A31" s="8" t="s">
        <v>113</v>
      </c>
      <c r="B31" s="40"/>
      <c r="C31" s="40">
        <v>6500</v>
      </c>
      <c r="D31" s="40"/>
      <c r="E31" s="40">
        <f>B31+C31+D31</f>
        <v>6500</v>
      </c>
      <c r="F31" s="40"/>
      <c r="G31" s="40"/>
      <c r="H31" s="40">
        <f>E31+F31+G31</f>
        <v>6500</v>
      </c>
    </row>
    <row r="32" spans="1:8" ht="12.75">
      <c r="A32" s="2" t="s">
        <v>144</v>
      </c>
      <c r="B32" s="39">
        <f>SUM(B34:B45)</f>
        <v>79147</v>
      </c>
      <c r="C32" s="39">
        <f>SUM(C34:C45)</f>
        <v>1048526.1</v>
      </c>
      <c r="D32" s="39">
        <f>SUM(D34:D45)</f>
        <v>0</v>
      </c>
      <c r="E32" s="39">
        <f>B32+C32+D32</f>
        <v>1127673.1</v>
      </c>
      <c r="F32" s="39">
        <f>SUM(F34:F45)</f>
        <v>1056587.3000000003</v>
      </c>
      <c r="G32" s="39">
        <f>SUM(G34:G45)</f>
        <v>0</v>
      </c>
      <c r="H32" s="39">
        <f>E32+F32+G32</f>
        <v>2184260.4000000004</v>
      </c>
    </row>
    <row r="33" spans="1:8" ht="9.75" customHeight="1">
      <c r="A33" s="3" t="s">
        <v>1</v>
      </c>
      <c r="B33" s="42"/>
      <c r="C33" s="42"/>
      <c r="D33" s="42"/>
      <c r="E33" s="42"/>
      <c r="F33" s="42"/>
      <c r="G33" s="42"/>
      <c r="H33" s="42"/>
    </row>
    <row r="34" spans="1:8" ht="12.75">
      <c r="A34" s="4" t="s">
        <v>145</v>
      </c>
      <c r="B34" s="42">
        <v>78997</v>
      </c>
      <c r="C34" s="42"/>
      <c r="D34" s="42"/>
      <c r="E34" s="40">
        <f aca="true" t="shared" si="1" ref="E34:E43">B34+C34</f>
        <v>78997</v>
      </c>
      <c r="F34" s="42"/>
      <c r="G34" s="42"/>
      <c r="H34" s="40">
        <f aca="true" t="shared" si="2" ref="H34:H45">E34+F34+G34</f>
        <v>78997</v>
      </c>
    </row>
    <row r="35" spans="1:8" ht="12.75">
      <c r="A35" s="4" t="s">
        <v>24</v>
      </c>
      <c r="B35" s="42"/>
      <c r="C35" s="42">
        <f>3649+440.4</f>
        <v>4089.4</v>
      </c>
      <c r="D35" s="42"/>
      <c r="E35" s="40">
        <f t="shared" si="1"/>
        <v>4089.4</v>
      </c>
      <c r="F35" s="42"/>
      <c r="G35" s="42"/>
      <c r="H35" s="40">
        <f t="shared" si="2"/>
        <v>4089.4</v>
      </c>
    </row>
    <row r="36" spans="1:8" ht="12.75" customHeight="1">
      <c r="A36" s="4" t="s">
        <v>43</v>
      </c>
      <c r="B36" s="42"/>
      <c r="C36" s="42">
        <f>1038328+1787.2+200+1371</f>
        <v>1041686.2</v>
      </c>
      <c r="D36" s="42"/>
      <c r="E36" s="40">
        <f t="shared" si="1"/>
        <v>1041686.2</v>
      </c>
      <c r="F36" s="42">
        <f>1040013+1086+3845.8+12+770</f>
        <v>1045726.8</v>
      </c>
      <c r="G36" s="42"/>
      <c r="H36" s="40">
        <f t="shared" si="2"/>
        <v>2087413</v>
      </c>
    </row>
    <row r="37" spans="1:8" ht="12.75">
      <c r="A37" s="4" t="s">
        <v>52</v>
      </c>
      <c r="B37" s="42"/>
      <c r="C37" s="42">
        <f>1225.5+74.9</f>
        <v>1300.4</v>
      </c>
      <c r="D37" s="42"/>
      <c r="E37" s="40">
        <f t="shared" si="1"/>
        <v>1300.4</v>
      </c>
      <c r="F37" s="42">
        <f>2568.3+1141.2</f>
        <v>3709.5</v>
      </c>
      <c r="G37" s="42"/>
      <c r="H37" s="40">
        <f t="shared" si="2"/>
        <v>5009.9</v>
      </c>
    </row>
    <row r="38" spans="1:8" ht="12.75">
      <c r="A38" s="4" t="s">
        <v>83</v>
      </c>
      <c r="B38" s="42"/>
      <c r="C38" s="42">
        <v>13</v>
      </c>
      <c r="D38" s="42"/>
      <c r="E38" s="40">
        <f t="shared" si="1"/>
        <v>13</v>
      </c>
      <c r="F38" s="42">
        <f>6118+47.6</f>
        <v>6165.6</v>
      </c>
      <c r="G38" s="42"/>
      <c r="H38" s="40">
        <f t="shared" si="2"/>
        <v>6178.6</v>
      </c>
    </row>
    <row r="39" spans="1:8" ht="12.75">
      <c r="A39" s="4" t="s">
        <v>214</v>
      </c>
      <c r="B39" s="42"/>
      <c r="C39" s="42"/>
      <c r="D39" s="42"/>
      <c r="E39" s="40">
        <f>B39+C39</f>
        <v>0</v>
      </c>
      <c r="F39" s="42">
        <f>120+612</f>
        <v>732</v>
      </c>
      <c r="G39" s="42"/>
      <c r="H39" s="40">
        <f>E39+F39+G39</f>
        <v>732</v>
      </c>
    </row>
    <row r="40" spans="1:8" ht="12.75">
      <c r="A40" s="4" t="s">
        <v>193</v>
      </c>
      <c r="B40" s="42"/>
      <c r="C40" s="42"/>
      <c r="D40" s="42"/>
      <c r="E40" s="40">
        <f t="shared" si="1"/>
        <v>0</v>
      </c>
      <c r="F40" s="42">
        <v>3.1</v>
      </c>
      <c r="G40" s="42"/>
      <c r="H40" s="40">
        <f t="shared" si="2"/>
        <v>3.1</v>
      </c>
    </row>
    <row r="41" spans="1:8" ht="12.75">
      <c r="A41" s="4" t="s">
        <v>170</v>
      </c>
      <c r="B41" s="42"/>
      <c r="C41" s="42">
        <v>45.2</v>
      </c>
      <c r="D41" s="42"/>
      <c r="E41" s="40">
        <f t="shared" si="1"/>
        <v>45.2</v>
      </c>
      <c r="F41" s="42"/>
      <c r="G41" s="42"/>
      <c r="H41" s="40">
        <f t="shared" si="2"/>
        <v>45.2</v>
      </c>
    </row>
    <row r="42" spans="1:8" ht="12.75">
      <c r="A42" s="4" t="s">
        <v>25</v>
      </c>
      <c r="B42" s="42"/>
      <c r="C42" s="42">
        <f>14+31.3+8+16</f>
        <v>69.3</v>
      </c>
      <c r="D42" s="42"/>
      <c r="E42" s="40">
        <f t="shared" si="1"/>
        <v>69.3</v>
      </c>
      <c r="F42" s="42">
        <f>10.8+12+16+7</f>
        <v>45.8</v>
      </c>
      <c r="G42" s="42"/>
      <c r="H42" s="40">
        <f t="shared" si="2"/>
        <v>115.1</v>
      </c>
    </row>
    <row r="43" spans="1:8" ht="12.75">
      <c r="A43" s="4" t="s">
        <v>104</v>
      </c>
      <c r="B43" s="42"/>
      <c r="C43" s="42">
        <f>1322.6</f>
        <v>1322.6</v>
      </c>
      <c r="D43" s="42"/>
      <c r="E43" s="40">
        <f t="shared" si="1"/>
        <v>1322.6</v>
      </c>
      <c r="F43" s="42">
        <v>204.5</v>
      </c>
      <c r="G43" s="42"/>
      <c r="H43" s="40">
        <f t="shared" si="2"/>
        <v>1527.1</v>
      </c>
    </row>
    <row r="44" spans="1:8" ht="12.75" hidden="1">
      <c r="A44" s="4" t="s">
        <v>79</v>
      </c>
      <c r="B44" s="42"/>
      <c r="C44" s="42"/>
      <c r="D44" s="42"/>
      <c r="E44" s="40">
        <f>B44+C44+D44</f>
        <v>0</v>
      </c>
      <c r="F44" s="42"/>
      <c r="G44" s="42"/>
      <c r="H44" s="40">
        <f t="shared" si="2"/>
        <v>0</v>
      </c>
    </row>
    <row r="45" spans="1:8" ht="12.75">
      <c r="A45" s="4" t="s">
        <v>26</v>
      </c>
      <c r="B45" s="42">
        <v>150</v>
      </c>
      <c r="C45" s="42"/>
      <c r="D45" s="42"/>
      <c r="E45" s="40">
        <f>B45+C45+D45</f>
        <v>150</v>
      </c>
      <c r="F45" s="42"/>
      <c r="G45" s="42"/>
      <c r="H45" s="40">
        <f t="shared" si="2"/>
        <v>150</v>
      </c>
    </row>
    <row r="46" spans="1:8" ht="12.75">
      <c r="A46" s="12" t="s">
        <v>194</v>
      </c>
      <c r="B46" s="42"/>
      <c r="C46" s="42"/>
      <c r="D46" s="42"/>
      <c r="E46" s="41">
        <f>E48</f>
        <v>0</v>
      </c>
      <c r="F46" s="41">
        <f>F48</f>
        <v>12</v>
      </c>
      <c r="G46" s="41">
        <f>G48</f>
        <v>0</v>
      </c>
      <c r="H46" s="41">
        <f>H48</f>
        <v>12</v>
      </c>
    </row>
    <row r="47" spans="1:8" ht="12.75">
      <c r="A47" s="10" t="s">
        <v>1</v>
      </c>
      <c r="B47" s="42"/>
      <c r="C47" s="42"/>
      <c r="D47" s="42"/>
      <c r="E47" s="40"/>
      <c r="F47" s="42"/>
      <c r="G47" s="42"/>
      <c r="H47" s="40"/>
    </row>
    <row r="48" spans="1:8" ht="12.75">
      <c r="A48" s="4" t="s">
        <v>209</v>
      </c>
      <c r="B48" s="42"/>
      <c r="C48" s="42"/>
      <c r="D48" s="42"/>
      <c r="E48" s="40"/>
      <c r="F48" s="42">
        <v>12</v>
      </c>
      <c r="G48" s="42"/>
      <c r="H48" s="40">
        <f>E48+F48+G48</f>
        <v>12</v>
      </c>
    </row>
    <row r="49" spans="1:8" ht="12.75">
      <c r="A49" s="2" t="s">
        <v>146</v>
      </c>
      <c r="B49" s="39">
        <f>SUM(B51:B56)</f>
        <v>0</v>
      </c>
      <c r="C49" s="39">
        <f>SUM(C51:C56)</f>
        <v>600</v>
      </c>
      <c r="D49" s="39"/>
      <c r="E49" s="39">
        <f>B49+C49</f>
        <v>600</v>
      </c>
      <c r="F49" s="39">
        <f>SUM(F51:F56)</f>
        <v>100030.09999999999</v>
      </c>
      <c r="G49" s="39"/>
      <c r="H49" s="39">
        <f>E49+F49+G49</f>
        <v>100630.09999999999</v>
      </c>
    </row>
    <row r="50" spans="1:8" ht="12.75">
      <c r="A50" s="3" t="s">
        <v>1</v>
      </c>
      <c r="B50" s="42"/>
      <c r="C50" s="42"/>
      <c r="D50" s="42"/>
      <c r="E50" s="42"/>
      <c r="F50" s="42"/>
      <c r="G50" s="42"/>
      <c r="H50" s="42"/>
    </row>
    <row r="51" spans="1:8" ht="13.5" customHeight="1" hidden="1">
      <c r="A51" s="4" t="s">
        <v>43</v>
      </c>
      <c r="B51" s="42"/>
      <c r="C51" s="42"/>
      <c r="D51" s="42"/>
      <c r="E51" s="40">
        <f aca="true" t="shared" si="3" ref="E51:E56">B51+C51</f>
        <v>0</v>
      </c>
      <c r="F51" s="42"/>
      <c r="G51" s="42"/>
      <c r="H51" s="40">
        <f aca="true" t="shared" si="4" ref="H51:H56">E51+F51</f>
        <v>0</v>
      </c>
    </row>
    <row r="52" spans="1:8" ht="12.75" hidden="1">
      <c r="A52" s="5" t="s">
        <v>87</v>
      </c>
      <c r="B52" s="42"/>
      <c r="C52" s="42"/>
      <c r="D52" s="42"/>
      <c r="E52" s="40">
        <f t="shared" si="3"/>
        <v>0</v>
      </c>
      <c r="F52" s="42"/>
      <c r="G52" s="42"/>
      <c r="H52" s="40">
        <f t="shared" si="4"/>
        <v>0</v>
      </c>
    </row>
    <row r="53" spans="1:8" ht="12.75">
      <c r="A53" s="4" t="s">
        <v>83</v>
      </c>
      <c r="B53" s="42"/>
      <c r="C53" s="42">
        <v>600</v>
      </c>
      <c r="D53" s="42"/>
      <c r="E53" s="40">
        <f t="shared" si="3"/>
        <v>600</v>
      </c>
      <c r="F53" s="42">
        <f>23232.8+1702.6+65175.7+9919</f>
        <v>100030.09999999999</v>
      </c>
      <c r="G53" s="42"/>
      <c r="H53" s="40">
        <f>E53+F53+G53</f>
        <v>100630.09999999999</v>
      </c>
    </row>
    <row r="54" spans="1:8" ht="12.75" hidden="1">
      <c r="A54" s="4" t="s">
        <v>114</v>
      </c>
      <c r="B54" s="42"/>
      <c r="C54" s="42"/>
      <c r="D54" s="42"/>
      <c r="E54" s="40">
        <f t="shared" si="3"/>
        <v>0</v>
      </c>
      <c r="F54" s="42"/>
      <c r="G54" s="42"/>
      <c r="H54" s="40">
        <f t="shared" si="4"/>
        <v>0</v>
      </c>
    </row>
    <row r="55" spans="1:8" ht="12.75" hidden="1">
      <c r="A55" s="4" t="s">
        <v>119</v>
      </c>
      <c r="B55" s="42"/>
      <c r="C55" s="42"/>
      <c r="D55" s="42"/>
      <c r="E55" s="40">
        <f t="shared" si="3"/>
        <v>0</v>
      </c>
      <c r="F55" s="42"/>
      <c r="G55" s="42"/>
      <c r="H55" s="40">
        <f t="shared" si="4"/>
        <v>0</v>
      </c>
    </row>
    <row r="56" spans="1:8" ht="12.75" hidden="1">
      <c r="A56" s="4" t="s">
        <v>26</v>
      </c>
      <c r="B56" s="42"/>
      <c r="C56" s="42"/>
      <c r="D56" s="42"/>
      <c r="E56" s="40">
        <f t="shared" si="3"/>
        <v>0</v>
      </c>
      <c r="F56" s="42"/>
      <c r="G56" s="42"/>
      <c r="H56" s="40">
        <f t="shared" si="4"/>
        <v>0</v>
      </c>
    </row>
    <row r="57" spans="1:8" ht="12.75">
      <c r="A57" s="12" t="s">
        <v>195</v>
      </c>
      <c r="B57" s="42"/>
      <c r="C57" s="42"/>
      <c r="D57" s="42"/>
      <c r="E57" s="41">
        <f>E59</f>
        <v>0</v>
      </c>
      <c r="F57" s="41">
        <f>F59</f>
        <v>4861.9</v>
      </c>
      <c r="G57" s="41">
        <f>G59</f>
        <v>0</v>
      </c>
      <c r="H57" s="41">
        <f>H59</f>
        <v>4861.9</v>
      </c>
    </row>
    <row r="58" spans="1:8" ht="12.75">
      <c r="A58" s="10" t="s">
        <v>1</v>
      </c>
      <c r="B58" s="42"/>
      <c r="C58" s="42"/>
      <c r="D58" s="42"/>
      <c r="E58" s="40"/>
      <c r="F58" s="42"/>
      <c r="G58" s="42"/>
      <c r="H58" s="40"/>
    </row>
    <row r="59" spans="1:8" ht="12.75">
      <c r="A59" s="4" t="s">
        <v>210</v>
      </c>
      <c r="B59" s="42"/>
      <c r="C59" s="42"/>
      <c r="D59" s="42"/>
      <c r="E59" s="40"/>
      <c r="F59" s="42">
        <v>4861.9</v>
      </c>
      <c r="G59" s="42"/>
      <c r="H59" s="40">
        <f>E59+F59+G59</f>
        <v>4861.9</v>
      </c>
    </row>
    <row r="60" spans="1:8" ht="12.75">
      <c r="A60" s="12" t="s">
        <v>68</v>
      </c>
      <c r="B60" s="41"/>
      <c r="C60" s="41"/>
      <c r="D60" s="41"/>
      <c r="E60" s="41">
        <f>B60+C60+D60</f>
        <v>0</v>
      </c>
      <c r="F60" s="41">
        <v>78</v>
      </c>
      <c r="G60" s="41"/>
      <c r="H60" s="41">
        <f>E60+F60+G60</f>
        <v>78</v>
      </c>
    </row>
    <row r="61" spans="1:8" ht="21.75" customHeight="1" thickBot="1">
      <c r="A61" s="11" t="s">
        <v>2</v>
      </c>
      <c r="B61" s="43">
        <f>B10+B13+B32+B60+B49+B27</f>
        <v>2911900</v>
      </c>
      <c r="C61" s="43">
        <f>C10+C13+C32+C60+C49+C27</f>
        <v>1114515.1</v>
      </c>
      <c r="D61" s="43">
        <f>D10+D13+D32+D60+D49+D27</f>
        <v>2825.4</v>
      </c>
      <c r="E61" s="43">
        <f>E10+E13+E32+E60+E49+E27+E57+E46</f>
        <v>4029240.5</v>
      </c>
      <c r="F61" s="43">
        <f>F10+F13+F32+F60+F49+F27+F57+F46</f>
        <v>1210518.1000000003</v>
      </c>
      <c r="G61" s="43">
        <f>G10+G13+G32+G60+G49+G27</f>
        <v>0</v>
      </c>
      <c r="H61" s="43">
        <f>H10+H13+H32+H60+H49+H27+H57+H46</f>
        <v>5239758.600000001</v>
      </c>
    </row>
    <row r="62" spans="1:8" ht="24.75" customHeight="1">
      <c r="A62" s="2" t="s">
        <v>5</v>
      </c>
      <c r="B62" s="39"/>
      <c r="C62" s="42"/>
      <c r="D62" s="42"/>
      <c r="E62" s="42"/>
      <c r="F62" s="42"/>
      <c r="G62" s="42"/>
      <c r="H62" s="42"/>
    </row>
    <row r="63" spans="1:8" ht="19.5" customHeight="1">
      <c r="A63" s="2" t="s">
        <v>14</v>
      </c>
      <c r="B63" s="39">
        <f>B64+B72</f>
        <v>39100</v>
      </c>
      <c r="C63" s="39">
        <f>C64+C72</f>
        <v>530</v>
      </c>
      <c r="D63" s="39">
        <f>D64+D72</f>
        <v>300</v>
      </c>
      <c r="E63" s="39">
        <f>B63+C63+D63</f>
        <v>39930</v>
      </c>
      <c r="F63" s="39">
        <f>F64+F72</f>
        <v>380</v>
      </c>
      <c r="G63" s="39">
        <f>G64+G72</f>
        <v>0</v>
      </c>
      <c r="H63" s="39">
        <f>E63+F63+G63</f>
        <v>40310</v>
      </c>
    </row>
    <row r="64" spans="1:8" ht="15" customHeight="1">
      <c r="A64" s="6" t="s">
        <v>34</v>
      </c>
      <c r="B64" s="44">
        <f aca="true" t="shared" si="5" ref="B64:H64">SUM(B66:B71)</f>
        <v>39100</v>
      </c>
      <c r="C64" s="44">
        <f t="shared" si="5"/>
        <v>-80</v>
      </c>
      <c r="D64" s="44">
        <f t="shared" si="5"/>
        <v>300</v>
      </c>
      <c r="E64" s="44">
        <f t="shared" si="5"/>
        <v>39320</v>
      </c>
      <c r="F64" s="44">
        <f t="shared" si="5"/>
        <v>330</v>
      </c>
      <c r="G64" s="44">
        <f t="shared" si="5"/>
        <v>0</v>
      </c>
      <c r="H64" s="44">
        <f t="shared" si="5"/>
        <v>39650</v>
      </c>
    </row>
    <row r="65" spans="1:8" ht="10.5" customHeight="1">
      <c r="A65" s="3" t="s">
        <v>1</v>
      </c>
      <c r="B65" s="42"/>
      <c r="C65" s="42"/>
      <c r="D65" s="42"/>
      <c r="E65" s="42"/>
      <c r="F65" s="42"/>
      <c r="G65" s="42"/>
      <c r="H65" s="42"/>
    </row>
    <row r="66" spans="1:8" ht="12.75" customHeight="1">
      <c r="A66" s="4" t="s">
        <v>6</v>
      </c>
      <c r="B66" s="42">
        <v>15889</v>
      </c>
      <c r="C66" s="42"/>
      <c r="D66" s="42"/>
      <c r="E66" s="42">
        <f>B66+C66</f>
        <v>15889</v>
      </c>
      <c r="F66" s="42"/>
      <c r="G66" s="42"/>
      <c r="H66" s="40">
        <f aca="true" t="shared" si="6" ref="H66:H71">E66+F66+G66</f>
        <v>15889</v>
      </c>
    </row>
    <row r="67" spans="1:8" ht="12.75" customHeight="1">
      <c r="A67" s="4" t="s">
        <v>7</v>
      </c>
      <c r="B67" s="42">
        <v>3761</v>
      </c>
      <c r="C67" s="42"/>
      <c r="D67" s="42"/>
      <c r="E67" s="42">
        <f>B67+C67</f>
        <v>3761</v>
      </c>
      <c r="F67" s="42"/>
      <c r="G67" s="42"/>
      <c r="H67" s="40">
        <f t="shared" si="6"/>
        <v>3761</v>
      </c>
    </row>
    <row r="68" spans="1:8" ht="12.75" customHeight="1">
      <c r="A68" s="4" t="s">
        <v>8</v>
      </c>
      <c r="B68" s="42">
        <v>1500</v>
      </c>
      <c r="C68" s="42"/>
      <c r="D68" s="42"/>
      <c r="E68" s="42">
        <f>B68+C68</f>
        <v>1500</v>
      </c>
      <c r="F68" s="42"/>
      <c r="G68" s="42"/>
      <c r="H68" s="40">
        <f t="shared" si="6"/>
        <v>1500</v>
      </c>
    </row>
    <row r="69" spans="1:8" ht="12.75" customHeight="1">
      <c r="A69" s="4" t="s">
        <v>9</v>
      </c>
      <c r="B69" s="42">
        <v>7950</v>
      </c>
      <c r="C69" s="42"/>
      <c r="D69" s="42"/>
      <c r="E69" s="42">
        <f>B69+C69+D69</f>
        <v>7950</v>
      </c>
      <c r="F69" s="42"/>
      <c r="G69" s="42"/>
      <c r="H69" s="40">
        <f t="shared" si="6"/>
        <v>7950</v>
      </c>
    </row>
    <row r="70" spans="1:8" ht="12.75" customHeight="1">
      <c r="A70" s="4" t="s">
        <v>28</v>
      </c>
      <c r="B70" s="42">
        <v>2000</v>
      </c>
      <c r="C70" s="42"/>
      <c r="D70" s="42"/>
      <c r="E70" s="42">
        <f>SUM(B70:D70)</f>
        <v>2000</v>
      </c>
      <c r="F70" s="42"/>
      <c r="G70" s="42"/>
      <c r="H70" s="40">
        <f t="shared" si="6"/>
        <v>2000</v>
      </c>
    </row>
    <row r="71" spans="1:8" ht="12.75" customHeight="1">
      <c r="A71" s="4" t="s">
        <v>10</v>
      </c>
      <c r="B71" s="42">
        <v>8000</v>
      </c>
      <c r="C71" s="42">
        <v>-80</v>
      </c>
      <c r="D71" s="42">
        <v>300</v>
      </c>
      <c r="E71" s="42">
        <f>SUM(B71:D71)</f>
        <v>8220</v>
      </c>
      <c r="F71" s="42">
        <f>-50+100+280</f>
        <v>330</v>
      </c>
      <c r="G71" s="42"/>
      <c r="H71" s="40">
        <f t="shared" si="6"/>
        <v>8550</v>
      </c>
    </row>
    <row r="72" spans="1:8" ht="12.75" customHeight="1">
      <c r="A72" s="13" t="s">
        <v>35</v>
      </c>
      <c r="B72" s="45">
        <f>SUM(B74:B75)</f>
        <v>0</v>
      </c>
      <c r="C72" s="45">
        <f>SUM(C74:C75)</f>
        <v>610</v>
      </c>
      <c r="D72" s="45">
        <f>SUM(D74:D75)</f>
        <v>0</v>
      </c>
      <c r="E72" s="45">
        <f>B72+C72+D72</f>
        <v>610</v>
      </c>
      <c r="F72" s="45">
        <f>SUM(F74:F75)</f>
        <v>50</v>
      </c>
      <c r="G72" s="45">
        <f>SUM(G74:G75)</f>
        <v>0</v>
      </c>
      <c r="H72" s="45">
        <f>E72+F72+G72</f>
        <v>660</v>
      </c>
    </row>
    <row r="73" spans="1:8" ht="9.75" customHeight="1">
      <c r="A73" s="10" t="s">
        <v>1</v>
      </c>
      <c r="B73" s="41"/>
      <c r="C73" s="41"/>
      <c r="D73" s="41"/>
      <c r="E73" s="41"/>
      <c r="F73" s="41"/>
      <c r="G73" s="41"/>
      <c r="H73" s="41"/>
    </row>
    <row r="74" spans="1:8" ht="12.75" customHeight="1">
      <c r="A74" s="8" t="s">
        <v>41</v>
      </c>
      <c r="B74" s="40"/>
      <c r="C74" s="40">
        <v>530</v>
      </c>
      <c r="D74" s="40"/>
      <c r="E74" s="42">
        <f>B74+C74</f>
        <v>530</v>
      </c>
      <c r="F74" s="40"/>
      <c r="G74" s="40"/>
      <c r="H74" s="40">
        <f>E74+F74+G74</f>
        <v>530</v>
      </c>
    </row>
    <row r="75" spans="1:8" ht="12.75" customHeight="1">
      <c r="A75" s="36" t="s">
        <v>10</v>
      </c>
      <c r="B75" s="46"/>
      <c r="C75" s="46">
        <v>80</v>
      </c>
      <c r="D75" s="46"/>
      <c r="E75" s="46">
        <f>SUM(B75:D75)</f>
        <v>80</v>
      </c>
      <c r="F75" s="46">
        <v>50</v>
      </c>
      <c r="G75" s="46"/>
      <c r="H75" s="48">
        <f>E75+F75+G75</f>
        <v>130</v>
      </c>
    </row>
    <row r="76" spans="1:8" ht="19.5" customHeight="1">
      <c r="A76" s="2" t="s">
        <v>15</v>
      </c>
      <c r="B76" s="39">
        <f>B77</f>
        <v>268688</v>
      </c>
      <c r="C76" s="39">
        <f>C77</f>
        <v>3649</v>
      </c>
      <c r="D76" s="39">
        <f>D77</f>
        <v>0</v>
      </c>
      <c r="E76" s="39">
        <f>B76+C76+D76</f>
        <v>272337</v>
      </c>
      <c r="F76" s="39">
        <f>F77</f>
        <v>0</v>
      </c>
      <c r="G76" s="39">
        <f>G77</f>
        <v>0</v>
      </c>
      <c r="H76" s="39">
        <f>E76+F76+G76</f>
        <v>272337</v>
      </c>
    </row>
    <row r="77" spans="1:8" ht="15" customHeight="1">
      <c r="A77" s="6" t="s">
        <v>34</v>
      </c>
      <c r="B77" s="44">
        <f>SUM(B79:B86)</f>
        <v>268688</v>
      </c>
      <c r="C77" s="44">
        <f>SUM(C79:C86)</f>
        <v>3649</v>
      </c>
      <c r="D77" s="44">
        <f>SUM(D79:D86)</f>
        <v>0</v>
      </c>
      <c r="E77" s="44">
        <f>B77+C77+D77</f>
        <v>272337</v>
      </c>
      <c r="F77" s="44">
        <f>SUM(F79:F86)</f>
        <v>0</v>
      </c>
      <c r="G77" s="44">
        <f>SUM(G79:G86)</f>
        <v>0</v>
      </c>
      <c r="H77" s="44">
        <f>E77+F77+G77</f>
        <v>272337</v>
      </c>
    </row>
    <row r="78" spans="1:8" ht="10.5" customHeight="1">
      <c r="A78" s="3" t="s">
        <v>1</v>
      </c>
      <c r="B78" s="42"/>
      <c r="C78" s="42"/>
      <c r="D78" s="42"/>
      <c r="E78" s="42"/>
      <c r="F78" s="42"/>
      <c r="G78" s="42"/>
      <c r="H78" s="42"/>
    </row>
    <row r="79" spans="1:8" ht="12.75" customHeight="1">
      <c r="A79" s="4" t="s">
        <v>11</v>
      </c>
      <c r="B79" s="42">
        <v>112632</v>
      </c>
      <c r="C79" s="42"/>
      <c r="D79" s="42"/>
      <c r="E79" s="42">
        <f>B79+C79</f>
        <v>112632</v>
      </c>
      <c r="F79" s="42"/>
      <c r="G79" s="42"/>
      <c r="H79" s="40">
        <f aca="true" t="shared" si="7" ref="H79:H86">E79+F79+G79</f>
        <v>112632</v>
      </c>
    </row>
    <row r="80" spans="1:8" ht="12.75" customHeight="1">
      <c r="A80" s="4" t="s">
        <v>7</v>
      </c>
      <c r="B80" s="42">
        <v>38192</v>
      </c>
      <c r="C80" s="42"/>
      <c r="D80" s="42"/>
      <c r="E80" s="42">
        <f>B80+C80</f>
        <v>38192</v>
      </c>
      <c r="F80" s="42"/>
      <c r="G80" s="42"/>
      <c r="H80" s="40">
        <f t="shared" si="7"/>
        <v>38192</v>
      </c>
    </row>
    <row r="81" spans="1:8" ht="12.75" customHeight="1">
      <c r="A81" s="4" t="s">
        <v>12</v>
      </c>
      <c r="B81" s="42">
        <v>280</v>
      </c>
      <c r="C81" s="42"/>
      <c r="D81" s="42"/>
      <c r="E81" s="42">
        <f>B81+C81</f>
        <v>280</v>
      </c>
      <c r="F81" s="42"/>
      <c r="G81" s="42"/>
      <c r="H81" s="40">
        <f t="shared" si="7"/>
        <v>280</v>
      </c>
    </row>
    <row r="82" spans="1:8" ht="12.75" customHeight="1">
      <c r="A82" s="4" t="s">
        <v>9</v>
      </c>
      <c r="B82" s="42">
        <v>41956</v>
      </c>
      <c r="C82" s="42"/>
      <c r="D82" s="42"/>
      <c r="E82" s="42">
        <f>B82+C82+D82</f>
        <v>41956</v>
      </c>
      <c r="F82" s="42"/>
      <c r="G82" s="42"/>
      <c r="H82" s="40">
        <f t="shared" si="7"/>
        <v>41956</v>
      </c>
    </row>
    <row r="83" spans="1:8" ht="12.75" customHeight="1">
      <c r="A83" s="4" t="s">
        <v>13</v>
      </c>
      <c r="B83" s="42">
        <v>152</v>
      </c>
      <c r="C83" s="42"/>
      <c r="D83" s="42"/>
      <c r="E83" s="42">
        <f>B83+C83</f>
        <v>152</v>
      </c>
      <c r="F83" s="42"/>
      <c r="G83" s="42"/>
      <c r="H83" s="40">
        <f t="shared" si="7"/>
        <v>152</v>
      </c>
    </row>
    <row r="84" spans="1:8" ht="12.75" customHeight="1">
      <c r="A84" s="4" t="s">
        <v>53</v>
      </c>
      <c r="B84" s="42">
        <v>5476</v>
      </c>
      <c r="C84" s="42"/>
      <c r="D84" s="42"/>
      <c r="E84" s="42">
        <f>B84+C84</f>
        <v>5476</v>
      </c>
      <c r="F84" s="42"/>
      <c r="G84" s="42"/>
      <c r="H84" s="40">
        <f t="shared" si="7"/>
        <v>5476</v>
      </c>
    </row>
    <row r="85" spans="1:8" ht="12.75" customHeight="1">
      <c r="A85" s="4" t="s">
        <v>80</v>
      </c>
      <c r="B85" s="42"/>
      <c r="C85" s="42">
        <v>3649</v>
      </c>
      <c r="D85" s="42"/>
      <c r="E85" s="42">
        <f>B85+C85</f>
        <v>3649</v>
      </c>
      <c r="F85" s="42"/>
      <c r="G85" s="42"/>
      <c r="H85" s="40">
        <f t="shared" si="7"/>
        <v>3649</v>
      </c>
    </row>
    <row r="86" spans="1:8" ht="12.75" customHeight="1">
      <c r="A86" s="36" t="s">
        <v>173</v>
      </c>
      <c r="B86" s="46">
        <v>70000</v>
      </c>
      <c r="C86" s="46"/>
      <c r="D86" s="46"/>
      <c r="E86" s="46">
        <f>B86+C86</f>
        <v>70000</v>
      </c>
      <c r="F86" s="46"/>
      <c r="G86" s="46"/>
      <c r="H86" s="48">
        <f t="shared" si="7"/>
        <v>70000</v>
      </c>
    </row>
    <row r="87" spans="1:8" ht="18.75" customHeight="1">
      <c r="A87" s="2" t="s">
        <v>77</v>
      </c>
      <c r="B87" s="39">
        <f>B88+B96</f>
        <v>128214</v>
      </c>
      <c r="C87" s="39">
        <f>C88+C96</f>
        <v>25122.4</v>
      </c>
      <c r="D87" s="39">
        <f>D88+D96</f>
        <v>0</v>
      </c>
      <c r="E87" s="39">
        <f>B87+C87+D87</f>
        <v>153336.4</v>
      </c>
      <c r="F87" s="39">
        <f>F88+F96</f>
        <v>9620</v>
      </c>
      <c r="G87" s="39">
        <f>G88+G96</f>
        <v>0</v>
      </c>
      <c r="H87" s="39">
        <f>E87+F87+G87</f>
        <v>162956.4</v>
      </c>
    </row>
    <row r="88" spans="1:8" ht="15" customHeight="1">
      <c r="A88" s="6" t="s">
        <v>34</v>
      </c>
      <c r="B88" s="44">
        <f>SUM(B90:B94)</f>
        <v>88214</v>
      </c>
      <c r="C88" s="44">
        <f>SUM(C90:C94)</f>
        <v>20154.2</v>
      </c>
      <c r="D88" s="44">
        <f>SUM(D90:D94)</f>
        <v>9</v>
      </c>
      <c r="E88" s="44">
        <f>B88+C88+D88</f>
        <v>108377.2</v>
      </c>
      <c r="F88" s="44">
        <f>SUM(F90:F94)</f>
        <v>-150.6</v>
      </c>
      <c r="G88" s="44">
        <f>SUM(G90:G94)</f>
        <v>0</v>
      </c>
      <c r="H88" s="44">
        <f>E88+F88+G88</f>
        <v>108226.59999999999</v>
      </c>
    </row>
    <row r="89" spans="1:8" ht="10.5" customHeight="1">
      <c r="A89" s="3" t="s">
        <v>1</v>
      </c>
      <c r="B89" s="42"/>
      <c r="C89" s="42"/>
      <c r="D89" s="42"/>
      <c r="E89" s="39"/>
      <c r="F89" s="42"/>
      <c r="G89" s="42"/>
      <c r="H89" s="39"/>
    </row>
    <row r="90" spans="1:8" ht="12.75" customHeight="1">
      <c r="A90" s="7" t="s">
        <v>147</v>
      </c>
      <c r="B90" s="47">
        <v>42319</v>
      </c>
      <c r="C90" s="47">
        <v>4019.8</v>
      </c>
      <c r="D90" s="47"/>
      <c r="E90" s="42">
        <f>B90+C90</f>
        <v>46338.8</v>
      </c>
      <c r="F90" s="47"/>
      <c r="G90" s="47"/>
      <c r="H90" s="40">
        <f aca="true" t="shared" si="8" ref="H90:H95">E90+F90+G90</f>
        <v>46338.8</v>
      </c>
    </row>
    <row r="91" spans="1:8" ht="12.75" customHeight="1">
      <c r="A91" s="4" t="s">
        <v>9</v>
      </c>
      <c r="B91" s="42">
        <v>45895</v>
      </c>
      <c r="C91" s="42">
        <f>45.2+400-476</f>
        <v>-30.80000000000001</v>
      </c>
      <c r="D91" s="42"/>
      <c r="E91" s="42">
        <f>SUM(B91:D91)</f>
        <v>45864.2</v>
      </c>
      <c r="F91" s="42">
        <f>-280-100</f>
        <v>-380</v>
      </c>
      <c r="G91" s="42"/>
      <c r="H91" s="40">
        <f t="shared" si="8"/>
        <v>45484.2</v>
      </c>
    </row>
    <row r="92" spans="1:8" ht="12.75" customHeight="1">
      <c r="A92" s="4" t="s">
        <v>148</v>
      </c>
      <c r="B92" s="42"/>
      <c r="C92" s="42">
        <v>13600</v>
      </c>
      <c r="D92" s="42"/>
      <c r="E92" s="42">
        <f>SUM(B92:D92)</f>
        <v>13600</v>
      </c>
      <c r="F92" s="42"/>
      <c r="G92" s="42"/>
      <c r="H92" s="40">
        <f t="shared" si="8"/>
        <v>13600</v>
      </c>
    </row>
    <row r="93" spans="1:8" ht="12.75" customHeight="1">
      <c r="A93" s="4" t="s">
        <v>178</v>
      </c>
      <c r="B93" s="42"/>
      <c r="C93" s="42">
        <v>2300</v>
      </c>
      <c r="D93" s="42"/>
      <c r="E93" s="42">
        <f>SUM(B93:D93)</f>
        <v>2300</v>
      </c>
      <c r="F93" s="42"/>
      <c r="G93" s="42"/>
      <c r="H93" s="40">
        <f t="shared" si="8"/>
        <v>2300</v>
      </c>
    </row>
    <row r="94" spans="1:8" ht="12.75" customHeight="1">
      <c r="A94" s="8" t="s">
        <v>54</v>
      </c>
      <c r="B94" s="40"/>
      <c r="C94" s="40">
        <v>265.2</v>
      </c>
      <c r="D94" s="40">
        <v>9</v>
      </c>
      <c r="E94" s="42">
        <f>SUM(B94:D94)</f>
        <v>274.2</v>
      </c>
      <c r="F94" s="40">
        <v>229.4</v>
      </c>
      <c r="G94" s="40"/>
      <c r="H94" s="40">
        <f t="shared" si="8"/>
        <v>503.6</v>
      </c>
    </row>
    <row r="95" spans="1:8" ht="12.75" customHeight="1">
      <c r="A95" s="8" t="s">
        <v>149</v>
      </c>
      <c r="B95" s="40"/>
      <c r="C95" s="40">
        <v>265.2</v>
      </c>
      <c r="D95" s="40">
        <v>9</v>
      </c>
      <c r="E95" s="42">
        <f>SUM(B95:D95)</f>
        <v>274.2</v>
      </c>
      <c r="F95" s="40">
        <v>229.4</v>
      </c>
      <c r="G95" s="40"/>
      <c r="H95" s="40">
        <f t="shared" si="8"/>
        <v>503.6</v>
      </c>
    </row>
    <row r="96" spans="1:8" ht="15" customHeight="1">
      <c r="A96" s="13" t="s">
        <v>35</v>
      </c>
      <c r="B96" s="45">
        <f>SUM(B98:B100)</f>
        <v>40000</v>
      </c>
      <c r="C96" s="45">
        <f>SUM(C98:C100)</f>
        <v>4968.2</v>
      </c>
      <c r="D96" s="45">
        <f>SUM(D98:D100)</f>
        <v>-9</v>
      </c>
      <c r="E96" s="45">
        <f>B96+C96+D96</f>
        <v>44959.2</v>
      </c>
      <c r="F96" s="45">
        <f>SUM(F98:F100)</f>
        <v>9770.6</v>
      </c>
      <c r="G96" s="45">
        <f>SUM(G98:G100)</f>
        <v>0</v>
      </c>
      <c r="H96" s="45">
        <f>E96+F96+G96</f>
        <v>54729.799999999996</v>
      </c>
    </row>
    <row r="97" spans="1:8" ht="10.5" customHeight="1">
      <c r="A97" s="10" t="s">
        <v>1</v>
      </c>
      <c r="B97" s="41"/>
      <c r="C97" s="41"/>
      <c r="D97" s="41"/>
      <c r="E97" s="41"/>
      <c r="F97" s="41"/>
      <c r="G97" s="41"/>
      <c r="H97" s="41"/>
    </row>
    <row r="98" spans="1:8" ht="12.75" customHeight="1">
      <c r="A98" s="8" t="s">
        <v>179</v>
      </c>
      <c r="B98" s="40"/>
      <c r="C98" s="40">
        <v>5233.4</v>
      </c>
      <c r="D98" s="40"/>
      <c r="E98" s="42">
        <f>SUM(B98:D98)</f>
        <v>5233.4</v>
      </c>
      <c r="F98" s="40"/>
      <c r="G98" s="40"/>
      <c r="H98" s="42">
        <f>SUM(E98:G98)</f>
        <v>5233.4</v>
      </c>
    </row>
    <row r="99" spans="1:8" ht="12.75" customHeight="1">
      <c r="A99" s="8" t="s">
        <v>157</v>
      </c>
      <c r="B99" s="40"/>
      <c r="C99" s="40"/>
      <c r="D99" s="40"/>
      <c r="E99" s="42"/>
      <c r="F99" s="40">
        <v>10000</v>
      </c>
      <c r="G99" s="40"/>
      <c r="H99" s="42">
        <f>SUM(E99:G99)</f>
        <v>10000</v>
      </c>
    </row>
    <row r="100" spans="1:8" ht="12.75" customHeight="1">
      <c r="A100" s="8" t="s">
        <v>54</v>
      </c>
      <c r="B100" s="40">
        <v>40000</v>
      </c>
      <c r="C100" s="40">
        <v>-265.2</v>
      </c>
      <c r="D100" s="40">
        <v>-9</v>
      </c>
      <c r="E100" s="42">
        <f>SUM(B100:D100)</f>
        <v>39725.8</v>
      </c>
      <c r="F100" s="40">
        <v>-229.4</v>
      </c>
      <c r="G100" s="40"/>
      <c r="H100" s="42">
        <f>SUM(E100:G100)</f>
        <v>39496.4</v>
      </c>
    </row>
    <row r="101" spans="1:8" ht="12.75" customHeight="1">
      <c r="A101" s="67" t="s">
        <v>150</v>
      </c>
      <c r="B101" s="48"/>
      <c r="C101" s="48"/>
      <c r="D101" s="48"/>
      <c r="E101" s="46">
        <f>SUM(B101:D101)</f>
        <v>0</v>
      </c>
      <c r="F101" s="48">
        <f>11015+8537</f>
        <v>19552</v>
      </c>
      <c r="G101" s="48"/>
      <c r="H101" s="46">
        <f>SUM(E101:G101)</f>
        <v>19552</v>
      </c>
    </row>
    <row r="102" spans="1:8" ht="18.75" customHeight="1">
      <c r="A102" s="12" t="s">
        <v>185</v>
      </c>
      <c r="B102" s="41">
        <f aca="true" t="shared" si="9" ref="B102:H102">B103+B109</f>
        <v>3670</v>
      </c>
      <c r="C102" s="41">
        <f t="shared" si="9"/>
        <v>2671</v>
      </c>
      <c r="D102" s="41">
        <f t="shared" si="9"/>
        <v>13530</v>
      </c>
      <c r="E102" s="41">
        <f t="shared" si="9"/>
        <v>19871</v>
      </c>
      <c r="F102" s="41">
        <f t="shared" si="9"/>
        <v>0</v>
      </c>
      <c r="G102" s="41">
        <f t="shared" si="9"/>
        <v>0</v>
      </c>
      <c r="H102" s="41">
        <f t="shared" si="9"/>
        <v>19871</v>
      </c>
    </row>
    <row r="103" spans="1:8" ht="15" customHeight="1">
      <c r="A103" s="6" t="s">
        <v>34</v>
      </c>
      <c r="B103" s="44">
        <f>SUM(B105:B108)</f>
        <v>3670</v>
      </c>
      <c r="C103" s="44">
        <f>SUM(C105:C108)</f>
        <v>2671</v>
      </c>
      <c r="D103" s="44">
        <f>SUM(D105:D108)</f>
        <v>10322</v>
      </c>
      <c r="E103" s="44">
        <f>B103+C103+D103</f>
        <v>16663</v>
      </c>
      <c r="F103" s="44">
        <f>SUM(F105:F108)</f>
        <v>0</v>
      </c>
      <c r="G103" s="44">
        <f>SUM(G105:G108)</f>
        <v>0</v>
      </c>
      <c r="H103" s="44">
        <f>E103+F103+G103</f>
        <v>16663</v>
      </c>
    </row>
    <row r="104" spans="1:8" ht="9.75" customHeight="1">
      <c r="A104" s="3" t="s">
        <v>1</v>
      </c>
      <c r="B104" s="42"/>
      <c r="C104" s="42"/>
      <c r="D104" s="42"/>
      <c r="E104" s="39"/>
      <c r="F104" s="42"/>
      <c r="G104" s="42"/>
      <c r="H104" s="39"/>
    </row>
    <row r="105" spans="1:8" ht="12.75" customHeight="1">
      <c r="A105" s="4" t="s">
        <v>9</v>
      </c>
      <c r="B105" s="42">
        <v>3670</v>
      </c>
      <c r="C105" s="42">
        <f>-1900+1100</f>
        <v>-800</v>
      </c>
      <c r="D105" s="42"/>
      <c r="E105" s="42">
        <f>SUM(B105:D105)</f>
        <v>2870</v>
      </c>
      <c r="F105" s="42"/>
      <c r="G105" s="42"/>
      <c r="H105" s="42">
        <f>SUM(E105:G105)</f>
        <v>2870</v>
      </c>
    </row>
    <row r="106" spans="1:8" ht="12.75" customHeight="1">
      <c r="A106" s="5" t="s">
        <v>33</v>
      </c>
      <c r="B106" s="42"/>
      <c r="C106" s="42">
        <f>1571</f>
        <v>1571</v>
      </c>
      <c r="D106" s="42"/>
      <c r="E106" s="42">
        <f>SUM(B106:D106)</f>
        <v>1571</v>
      </c>
      <c r="F106" s="42"/>
      <c r="G106" s="42"/>
      <c r="H106" s="42">
        <f>SUM(E106:G106)</f>
        <v>1571</v>
      </c>
    </row>
    <row r="107" spans="1:8" ht="12.75" customHeight="1">
      <c r="A107" s="4" t="s">
        <v>148</v>
      </c>
      <c r="B107" s="42"/>
      <c r="C107" s="42">
        <v>1900</v>
      </c>
      <c r="D107" s="42"/>
      <c r="E107" s="42">
        <f>SUM(B107:D107)</f>
        <v>1900</v>
      </c>
      <c r="F107" s="42"/>
      <c r="G107" s="42"/>
      <c r="H107" s="42">
        <f>SUM(E107:G107)</f>
        <v>1900</v>
      </c>
    </row>
    <row r="108" spans="1:8" ht="12.75" customHeight="1">
      <c r="A108" s="4" t="s">
        <v>44</v>
      </c>
      <c r="B108" s="42"/>
      <c r="C108" s="42"/>
      <c r="D108" s="42">
        <v>10322</v>
      </c>
      <c r="E108" s="42">
        <f>SUM(B108:D108)</f>
        <v>10322</v>
      </c>
      <c r="F108" s="42"/>
      <c r="G108" s="42"/>
      <c r="H108" s="42">
        <f>SUM(E108:G108)</f>
        <v>10322</v>
      </c>
    </row>
    <row r="109" spans="1:8" ht="12.75" customHeight="1">
      <c r="A109" s="6" t="s">
        <v>35</v>
      </c>
      <c r="B109" s="44">
        <f>B111</f>
        <v>0</v>
      </c>
      <c r="C109" s="44">
        <f>C111</f>
        <v>0</v>
      </c>
      <c r="D109" s="44">
        <f>D111</f>
        <v>3208</v>
      </c>
      <c r="E109" s="44">
        <f>B109+C109+D109</f>
        <v>3208</v>
      </c>
      <c r="F109" s="44">
        <f>F111</f>
        <v>0</v>
      </c>
      <c r="G109" s="44">
        <f>G111</f>
        <v>0</v>
      </c>
      <c r="H109" s="44">
        <f>E109+F109+G109</f>
        <v>3208</v>
      </c>
    </row>
    <row r="110" spans="1:8" ht="12.75" customHeight="1">
      <c r="A110" s="3" t="s">
        <v>1</v>
      </c>
      <c r="B110" s="42"/>
      <c r="C110" s="42"/>
      <c r="D110" s="42"/>
      <c r="E110" s="39"/>
      <c r="F110" s="42"/>
      <c r="G110" s="42"/>
      <c r="H110" s="39"/>
    </row>
    <row r="111" spans="1:8" ht="12.75" customHeight="1">
      <c r="A111" s="36" t="s">
        <v>44</v>
      </c>
      <c r="B111" s="46"/>
      <c r="C111" s="46"/>
      <c r="D111" s="46">
        <v>3208</v>
      </c>
      <c r="E111" s="46">
        <f>SUM(B111:D111)</f>
        <v>3208</v>
      </c>
      <c r="F111" s="46"/>
      <c r="G111" s="46"/>
      <c r="H111" s="46">
        <f>SUM(E111:G111)</f>
        <v>3208</v>
      </c>
    </row>
    <row r="112" spans="1:8" ht="18.75" customHeight="1">
      <c r="A112" s="2" t="s">
        <v>16</v>
      </c>
      <c r="B112" s="39">
        <f>B113+B124</f>
        <v>942417</v>
      </c>
      <c r="C112" s="39">
        <f>C113+C124</f>
        <v>21000</v>
      </c>
      <c r="D112" s="39">
        <f>D113+D124</f>
        <v>1000</v>
      </c>
      <c r="E112" s="39">
        <f>B112+C112+D112</f>
        <v>964417</v>
      </c>
      <c r="F112" s="39">
        <f>F113+F124</f>
        <v>6100</v>
      </c>
      <c r="G112" s="39">
        <f>G113+G124</f>
        <v>0</v>
      </c>
      <c r="H112" s="39">
        <f>E112+F112+G112</f>
        <v>970517</v>
      </c>
    </row>
    <row r="113" spans="1:8" ht="12.75" customHeight="1">
      <c r="A113" s="6" t="s">
        <v>34</v>
      </c>
      <c r="B113" s="44">
        <f>SUM(B116:B123)</f>
        <v>942417</v>
      </c>
      <c r="C113" s="44">
        <f>SUM(C116:C123)</f>
        <v>21000</v>
      </c>
      <c r="D113" s="44">
        <f>SUM(D116:D123)</f>
        <v>0</v>
      </c>
      <c r="E113" s="44">
        <f>B113+C113+D113</f>
        <v>963417</v>
      </c>
      <c r="F113" s="44">
        <f>SUM(F116:F123)</f>
        <v>0</v>
      </c>
      <c r="G113" s="44">
        <f>SUM(G116:G123)</f>
        <v>0</v>
      </c>
      <c r="H113" s="44">
        <f>E113+F113+G113</f>
        <v>963417</v>
      </c>
    </row>
    <row r="114" spans="1:8" ht="10.5" customHeight="1">
      <c r="A114" s="3" t="s">
        <v>1</v>
      </c>
      <c r="B114" s="42"/>
      <c r="C114" s="42"/>
      <c r="D114" s="42"/>
      <c r="E114" s="39"/>
      <c r="F114" s="42"/>
      <c r="G114" s="42"/>
      <c r="H114" s="39"/>
    </row>
    <row r="115" spans="1:8" ht="12.75" customHeight="1">
      <c r="A115" s="5" t="s">
        <v>37</v>
      </c>
      <c r="B115" s="42"/>
      <c r="C115" s="42"/>
      <c r="D115" s="42"/>
      <c r="E115" s="39"/>
      <c r="F115" s="42"/>
      <c r="G115" s="42"/>
      <c r="H115" s="39"/>
    </row>
    <row r="116" spans="1:8" ht="12.75" customHeight="1">
      <c r="A116" s="5" t="s">
        <v>38</v>
      </c>
      <c r="B116" s="42">
        <v>202696</v>
      </c>
      <c r="C116" s="42"/>
      <c r="D116" s="42"/>
      <c r="E116" s="42">
        <f>B116+C116+D116</f>
        <v>202696</v>
      </c>
      <c r="F116" s="42"/>
      <c r="G116" s="42"/>
      <c r="H116" s="42">
        <f>E116+F116+G116</f>
        <v>202696</v>
      </c>
    </row>
    <row r="117" spans="1:8" ht="12.75" customHeight="1">
      <c r="A117" s="4" t="s">
        <v>39</v>
      </c>
      <c r="B117" s="42">
        <v>297535</v>
      </c>
      <c r="C117" s="42"/>
      <c r="D117" s="42"/>
      <c r="E117" s="42">
        <f aca="true" t="shared" si="10" ref="E117:E123">B117+C117+D117</f>
        <v>297535</v>
      </c>
      <c r="F117" s="42"/>
      <c r="G117" s="42"/>
      <c r="H117" s="42">
        <f aca="true" t="shared" si="11" ref="H117:H123">E117+F117+G117</f>
        <v>297535</v>
      </c>
    </row>
    <row r="118" spans="1:8" ht="12.75" customHeight="1">
      <c r="A118" s="7" t="s">
        <v>18</v>
      </c>
      <c r="B118" s="47">
        <v>366000</v>
      </c>
      <c r="C118" s="47">
        <f>21000-100000</f>
        <v>-79000</v>
      </c>
      <c r="D118" s="47">
        <v>-150000</v>
      </c>
      <c r="E118" s="42">
        <f t="shared" si="10"/>
        <v>137000</v>
      </c>
      <c r="F118" s="47"/>
      <c r="G118" s="47"/>
      <c r="H118" s="42">
        <f t="shared" si="11"/>
        <v>137000</v>
      </c>
    </row>
    <row r="119" spans="1:8" ht="12.75" customHeight="1">
      <c r="A119" s="4" t="s">
        <v>151</v>
      </c>
      <c r="B119" s="42">
        <v>3000</v>
      </c>
      <c r="C119" s="42"/>
      <c r="D119" s="42"/>
      <c r="E119" s="42">
        <f t="shared" si="10"/>
        <v>3000</v>
      </c>
      <c r="F119" s="42"/>
      <c r="G119" s="42"/>
      <c r="H119" s="42">
        <f t="shared" si="11"/>
        <v>3000</v>
      </c>
    </row>
    <row r="120" spans="1:8" ht="12.75" customHeight="1">
      <c r="A120" s="4" t="s">
        <v>186</v>
      </c>
      <c r="B120" s="42"/>
      <c r="C120" s="42"/>
      <c r="D120" s="42">
        <v>50000</v>
      </c>
      <c r="E120" s="42">
        <f t="shared" si="10"/>
        <v>50000</v>
      </c>
      <c r="F120" s="42"/>
      <c r="G120" s="42"/>
      <c r="H120" s="42">
        <f t="shared" si="11"/>
        <v>50000</v>
      </c>
    </row>
    <row r="121" spans="1:8" ht="12.75" customHeight="1">
      <c r="A121" s="4" t="s">
        <v>125</v>
      </c>
      <c r="B121" s="42">
        <v>67796</v>
      </c>
      <c r="C121" s="42"/>
      <c r="D121" s="42"/>
      <c r="E121" s="42">
        <f t="shared" si="10"/>
        <v>67796</v>
      </c>
      <c r="F121" s="42"/>
      <c r="G121" s="42"/>
      <c r="H121" s="42">
        <f t="shared" si="11"/>
        <v>67796</v>
      </c>
    </row>
    <row r="122" spans="1:8" ht="12.75" customHeight="1">
      <c r="A122" s="4" t="s">
        <v>148</v>
      </c>
      <c r="B122" s="42"/>
      <c r="C122" s="42"/>
      <c r="D122" s="42"/>
      <c r="E122" s="42"/>
      <c r="F122" s="42">
        <v>250</v>
      </c>
      <c r="G122" s="42"/>
      <c r="H122" s="42">
        <f t="shared" si="11"/>
        <v>250</v>
      </c>
    </row>
    <row r="123" spans="1:8" ht="12.75" customHeight="1">
      <c r="A123" s="4" t="s">
        <v>9</v>
      </c>
      <c r="B123" s="42">
        <v>5390</v>
      </c>
      <c r="C123" s="42">
        <v>100000</v>
      </c>
      <c r="D123" s="42">
        <v>100000</v>
      </c>
      <c r="E123" s="42">
        <f t="shared" si="10"/>
        <v>205390</v>
      </c>
      <c r="F123" s="42">
        <f>-250</f>
        <v>-250</v>
      </c>
      <c r="G123" s="42"/>
      <c r="H123" s="42">
        <f t="shared" si="11"/>
        <v>205140</v>
      </c>
    </row>
    <row r="124" spans="1:8" ht="13.5" customHeight="1">
      <c r="A124" s="13" t="s">
        <v>35</v>
      </c>
      <c r="B124" s="45">
        <f>SUM(B126:B131)</f>
        <v>0</v>
      </c>
      <c r="C124" s="45">
        <f>SUM(C126:C131)</f>
        <v>0</v>
      </c>
      <c r="D124" s="45">
        <f>SUM(D126:D131)</f>
        <v>1000</v>
      </c>
      <c r="E124" s="45">
        <f>B124+C124+D124</f>
        <v>1000</v>
      </c>
      <c r="F124" s="45">
        <f>SUM(F126:F131)</f>
        <v>6100</v>
      </c>
      <c r="G124" s="45">
        <f>SUM(G126:G131)</f>
        <v>0</v>
      </c>
      <c r="H124" s="45">
        <f>E124+F124+G124</f>
        <v>7100</v>
      </c>
    </row>
    <row r="125" spans="1:8" ht="10.5" customHeight="1">
      <c r="A125" s="10" t="s">
        <v>1</v>
      </c>
      <c r="B125" s="41"/>
      <c r="C125" s="41"/>
      <c r="D125" s="41"/>
      <c r="E125" s="41"/>
      <c r="F125" s="41"/>
      <c r="G125" s="41"/>
      <c r="H125" s="41"/>
    </row>
    <row r="126" spans="1:8" ht="12.75" customHeight="1" hidden="1">
      <c r="A126" s="4" t="s">
        <v>152</v>
      </c>
      <c r="B126" s="42"/>
      <c r="C126" s="42"/>
      <c r="D126" s="42"/>
      <c r="E126" s="42">
        <f>B126+C126+D126</f>
        <v>0</v>
      </c>
      <c r="F126" s="42"/>
      <c r="G126" s="42"/>
      <c r="H126" s="42">
        <f aca="true" t="shared" si="12" ref="H126:H131">E126+F126+G126</f>
        <v>0</v>
      </c>
    </row>
    <row r="127" spans="1:8" ht="12.75" customHeight="1">
      <c r="A127" s="8" t="s">
        <v>41</v>
      </c>
      <c r="B127" s="40"/>
      <c r="C127" s="40"/>
      <c r="D127" s="40"/>
      <c r="E127" s="42"/>
      <c r="F127" s="40">
        <v>3100</v>
      </c>
      <c r="G127" s="40"/>
      <c r="H127" s="42">
        <f t="shared" si="12"/>
        <v>3100</v>
      </c>
    </row>
    <row r="128" spans="1:8" ht="12.75" customHeight="1">
      <c r="A128" s="8" t="s">
        <v>157</v>
      </c>
      <c r="B128" s="40"/>
      <c r="C128" s="40"/>
      <c r="D128" s="40"/>
      <c r="E128" s="42"/>
      <c r="F128" s="40">
        <v>3000</v>
      </c>
      <c r="G128" s="40"/>
      <c r="H128" s="42">
        <f t="shared" si="12"/>
        <v>3000</v>
      </c>
    </row>
    <row r="129" spans="1:8" ht="12.75" customHeight="1">
      <c r="A129" s="37" t="s">
        <v>187</v>
      </c>
      <c r="B129" s="48"/>
      <c r="C129" s="48"/>
      <c r="D129" s="48">
        <v>1000</v>
      </c>
      <c r="E129" s="46">
        <f>B129+C129+D129</f>
        <v>1000</v>
      </c>
      <c r="F129" s="48"/>
      <c r="G129" s="48"/>
      <c r="H129" s="46">
        <f t="shared" si="12"/>
        <v>1000</v>
      </c>
    </row>
    <row r="130" spans="1:8" ht="12.75" customHeight="1" hidden="1">
      <c r="A130" s="8" t="s">
        <v>115</v>
      </c>
      <c r="B130" s="40"/>
      <c r="C130" s="40"/>
      <c r="D130" s="40"/>
      <c r="E130" s="42">
        <f>B130+C130+D130</f>
        <v>0</v>
      </c>
      <c r="F130" s="40"/>
      <c r="G130" s="40"/>
      <c r="H130" s="42">
        <f t="shared" si="12"/>
        <v>0</v>
      </c>
    </row>
    <row r="131" spans="1:8" ht="12.75" customHeight="1" hidden="1">
      <c r="A131" s="8" t="s">
        <v>55</v>
      </c>
      <c r="B131" s="40"/>
      <c r="C131" s="40"/>
      <c r="D131" s="40"/>
      <c r="E131" s="42">
        <f>B131+C131+D131</f>
        <v>0</v>
      </c>
      <c r="F131" s="40"/>
      <c r="G131" s="40"/>
      <c r="H131" s="42">
        <f t="shared" si="12"/>
        <v>0</v>
      </c>
    </row>
    <row r="132" spans="1:8" ht="12.75" customHeight="1" hidden="1">
      <c r="A132" s="8" t="s">
        <v>82</v>
      </c>
      <c r="B132" s="40"/>
      <c r="C132" s="40"/>
      <c r="D132" s="40"/>
      <c r="E132" s="42">
        <f>B132+C132</f>
        <v>0</v>
      </c>
      <c r="F132" s="40"/>
      <c r="G132" s="40"/>
      <c r="H132" s="42">
        <f>E132+F132</f>
        <v>0</v>
      </c>
    </row>
    <row r="133" spans="1:8" ht="18.75" customHeight="1">
      <c r="A133" s="2" t="s">
        <v>93</v>
      </c>
      <c r="B133" s="39">
        <f aca="true" t="shared" si="13" ref="B133:H133">B134</f>
        <v>7000</v>
      </c>
      <c r="C133" s="39">
        <f t="shared" si="13"/>
        <v>0</v>
      </c>
      <c r="D133" s="39">
        <f t="shared" si="13"/>
        <v>0</v>
      </c>
      <c r="E133" s="39">
        <f t="shared" si="13"/>
        <v>7000</v>
      </c>
      <c r="F133" s="39">
        <f t="shared" si="13"/>
        <v>78</v>
      </c>
      <c r="G133" s="39">
        <f t="shared" si="13"/>
        <v>0</v>
      </c>
      <c r="H133" s="39">
        <f t="shared" si="13"/>
        <v>7078</v>
      </c>
    </row>
    <row r="134" spans="1:8" ht="15" customHeight="1">
      <c r="A134" s="6" t="s">
        <v>34</v>
      </c>
      <c r="B134" s="44">
        <f>SUM(B136:B136)</f>
        <v>7000</v>
      </c>
      <c r="C134" s="44">
        <f>SUM(C136:C136)</f>
        <v>0</v>
      </c>
      <c r="D134" s="44">
        <f>SUM(D136:D136)</f>
        <v>0</v>
      </c>
      <c r="E134" s="44">
        <f>B134+C134</f>
        <v>7000</v>
      </c>
      <c r="F134" s="44">
        <f>SUM(F136:F136)</f>
        <v>78</v>
      </c>
      <c r="G134" s="44">
        <f>SUM(G136:G136)</f>
        <v>0</v>
      </c>
      <c r="H134" s="44">
        <f>E134+F134</f>
        <v>7078</v>
      </c>
    </row>
    <row r="135" spans="1:8" ht="10.5" customHeight="1">
      <c r="A135" s="3" t="s">
        <v>1</v>
      </c>
      <c r="B135" s="42"/>
      <c r="C135" s="42"/>
      <c r="D135" s="42"/>
      <c r="E135" s="39"/>
      <c r="F135" s="42"/>
      <c r="G135" s="42"/>
      <c r="H135" s="39"/>
    </row>
    <row r="136" spans="1:8" ht="12.75" customHeight="1">
      <c r="A136" s="36" t="s">
        <v>9</v>
      </c>
      <c r="B136" s="46">
        <v>7000</v>
      </c>
      <c r="C136" s="46"/>
      <c r="D136" s="46"/>
      <c r="E136" s="46">
        <f>B136+C136+D136</f>
        <v>7000</v>
      </c>
      <c r="F136" s="46">
        <v>78</v>
      </c>
      <c r="G136" s="46"/>
      <c r="H136" s="46">
        <f>E136+F136+G136</f>
        <v>7078</v>
      </c>
    </row>
    <row r="137" spans="1:8" ht="16.5" customHeight="1">
      <c r="A137" s="12" t="s">
        <v>67</v>
      </c>
      <c r="B137" s="41">
        <f aca="true" t="shared" si="14" ref="B137:H137">B138+B143</f>
        <v>350962</v>
      </c>
      <c r="C137" s="41">
        <f t="shared" si="14"/>
        <v>0</v>
      </c>
      <c r="D137" s="41">
        <f t="shared" si="14"/>
        <v>0</v>
      </c>
      <c r="E137" s="41">
        <f t="shared" si="14"/>
        <v>350962</v>
      </c>
      <c r="F137" s="41">
        <f t="shared" si="14"/>
        <v>0</v>
      </c>
      <c r="G137" s="41">
        <f t="shared" si="14"/>
        <v>0</v>
      </c>
      <c r="H137" s="41">
        <f t="shared" si="14"/>
        <v>350962</v>
      </c>
    </row>
    <row r="138" spans="1:8" ht="15" customHeight="1">
      <c r="A138" s="6" t="s">
        <v>34</v>
      </c>
      <c r="B138" s="44">
        <f>SUM(B140:B142)</f>
        <v>55962</v>
      </c>
      <c r="C138" s="44">
        <f>SUM(C140:C142)</f>
        <v>-1000</v>
      </c>
      <c r="D138" s="44">
        <f>SUM(D140:D142)</f>
        <v>0</v>
      </c>
      <c r="E138" s="44">
        <f>B138+C138+D138</f>
        <v>54962</v>
      </c>
      <c r="F138" s="44">
        <f>SUM(F140:F142)</f>
        <v>-238</v>
      </c>
      <c r="G138" s="44">
        <f>SUM(G140:G142)</f>
        <v>0</v>
      </c>
      <c r="H138" s="44">
        <f>E138+F138+G138</f>
        <v>54724</v>
      </c>
    </row>
    <row r="139" spans="1:8" ht="10.5" customHeight="1">
      <c r="A139" s="3" t="s">
        <v>1</v>
      </c>
      <c r="B139" s="42"/>
      <c r="C139" s="42"/>
      <c r="D139" s="42"/>
      <c r="E139" s="39"/>
      <c r="F139" s="42"/>
      <c r="G139" s="42"/>
      <c r="H139" s="39"/>
    </row>
    <row r="140" spans="1:8" ht="12.75" customHeight="1">
      <c r="A140" s="4" t="s">
        <v>9</v>
      </c>
      <c r="B140" s="42">
        <v>8962</v>
      </c>
      <c r="C140" s="42">
        <v>-1000</v>
      </c>
      <c r="D140" s="42"/>
      <c r="E140" s="42">
        <f>B140+C140+D140</f>
        <v>7962</v>
      </c>
      <c r="F140" s="42">
        <v>-238</v>
      </c>
      <c r="G140" s="42"/>
      <c r="H140" s="42">
        <f>E140+F140+G140</f>
        <v>7724</v>
      </c>
    </row>
    <row r="141" spans="1:8" ht="12.75" customHeight="1">
      <c r="A141" s="4" t="s">
        <v>211</v>
      </c>
      <c r="B141" s="42">
        <v>27000</v>
      </c>
      <c r="C141" s="42"/>
      <c r="D141" s="42"/>
      <c r="E141" s="42">
        <f>B141+C141+D141</f>
        <v>27000</v>
      </c>
      <c r="F141" s="42"/>
      <c r="G141" s="42"/>
      <c r="H141" s="42">
        <f>E141+F141+G141</f>
        <v>27000</v>
      </c>
    </row>
    <row r="142" spans="1:8" ht="12.75" customHeight="1">
      <c r="A142" s="4" t="s">
        <v>27</v>
      </c>
      <c r="B142" s="42">
        <v>20000</v>
      </c>
      <c r="C142" s="42"/>
      <c r="D142" s="42"/>
      <c r="E142" s="42">
        <f>B142+C142+D142</f>
        <v>20000</v>
      </c>
      <c r="F142" s="42"/>
      <c r="G142" s="42"/>
      <c r="H142" s="42">
        <f>E142+F142+G142</f>
        <v>20000</v>
      </c>
    </row>
    <row r="143" spans="1:8" ht="15" customHeight="1">
      <c r="A143" s="13" t="s">
        <v>35</v>
      </c>
      <c r="B143" s="45">
        <f>B146+B145</f>
        <v>295000</v>
      </c>
      <c r="C143" s="45">
        <f>C146+C145</f>
        <v>1000</v>
      </c>
      <c r="D143" s="45">
        <f>D146+D145</f>
        <v>0</v>
      </c>
      <c r="E143" s="44">
        <f>B143+C143+D143</f>
        <v>296000</v>
      </c>
      <c r="F143" s="45">
        <f>F146+F145</f>
        <v>238</v>
      </c>
      <c r="G143" s="45">
        <f>G146+G145</f>
        <v>0</v>
      </c>
      <c r="H143" s="44">
        <f>E143+F143+G143</f>
        <v>296238</v>
      </c>
    </row>
    <row r="144" spans="1:8" ht="10.5" customHeight="1">
      <c r="A144" s="10" t="s">
        <v>1</v>
      </c>
      <c r="B144" s="41"/>
      <c r="C144" s="41"/>
      <c r="D144" s="41"/>
      <c r="E144" s="41"/>
      <c r="F144" s="41"/>
      <c r="G144" s="41"/>
      <c r="H144" s="41"/>
    </row>
    <row r="145" spans="1:8" ht="12.75" customHeight="1">
      <c r="A145" s="5" t="s">
        <v>41</v>
      </c>
      <c r="B145" s="42"/>
      <c r="C145" s="42">
        <v>1000</v>
      </c>
      <c r="D145" s="42"/>
      <c r="E145" s="42">
        <f>B145+C145+D145</f>
        <v>1000</v>
      </c>
      <c r="F145" s="42">
        <v>238</v>
      </c>
      <c r="G145" s="42"/>
      <c r="H145" s="42">
        <f>E145+F145+G145</f>
        <v>1238</v>
      </c>
    </row>
    <row r="146" spans="1:8" ht="12.75" customHeight="1">
      <c r="A146" s="32" t="s">
        <v>212</v>
      </c>
      <c r="B146" s="46">
        <v>295000</v>
      </c>
      <c r="C146" s="46"/>
      <c r="D146" s="46"/>
      <c r="E146" s="46">
        <f>B146+C146+D146</f>
        <v>295000</v>
      </c>
      <c r="F146" s="46"/>
      <c r="G146" s="46"/>
      <c r="H146" s="46">
        <f>E146+F146+G146</f>
        <v>295000</v>
      </c>
    </row>
    <row r="147" spans="1:8" ht="19.5" customHeight="1">
      <c r="A147" s="2" t="s">
        <v>56</v>
      </c>
      <c r="B147" s="39">
        <f aca="true" t="shared" si="15" ref="B147:H147">B148+B177</f>
        <v>223700</v>
      </c>
      <c r="C147" s="39">
        <f t="shared" si="15"/>
        <v>16710.1</v>
      </c>
      <c r="D147" s="39">
        <f t="shared" si="15"/>
        <v>-7550.9000000000015</v>
      </c>
      <c r="E147" s="39">
        <f t="shared" si="15"/>
        <v>232859.2</v>
      </c>
      <c r="F147" s="39">
        <f t="shared" si="15"/>
        <v>-18454.4</v>
      </c>
      <c r="G147" s="39">
        <f t="shared" si="15"/>
        <v>0</v>
      </c>
      <c r="H147" s="39">
        <f t="shared" si="15"/>
        <v>214404.8</v>
      </c>
    </row>
    <row r="148" spans="1:8" ht="15" customHeight="1">
      <c r="A148" s="6" t="s">
        <v>34</v>
      </c>
      <c r="B148" s="44">
        <f aca="true" t="shared" si="16" ref="B148:H148">SUM(B150:B165)+B168</f>
        <v>177700</v>
      </c>
      <c r="C148" s="44">
        <f t="shared" si="16"/>
        <v>14445.1</v>
      </c>
      <c r="D148" s="44">
        <f t="shared" si="16"/>
        <v>-1847.7000000000007</v>
      </c>
      <c r="E148" s="44">
        <f t="shared" si="16"/>
        <v>190297.40000000002</v>
      </c>
      <c r="F148" s="44">
        <f>SUM(F150:F165)+F168</f>
        <v>-20157</v>
      </c>
      <c r="G148" s="44">
        <f t="shared" si="16"/>
        <v>0</v>
      </c>
      <c r="H148" s="44">
        <f t="shared" si="16"/>
        <v>170140.4</v>
      </c>
    </row>
    <row r="149" spans="1:8" ht="10.5" customHeight="1">
      <c r="A149" s="10" t="s">
        <v>1</v>
      </c>
      <c r="B149" s="41"/>
      <c r="C149" s="41"/>
      <c r="D149" s="41"/>
      <c r="E149" s="41"/>
      <c r="F149" s="41"/>
      <c r="G149" s="41"/>
      <c r="H149" s="41"/>
    </row>
    <row r="150" spans="1:8" ht="12.75" customHeight="1">
      <c r="A150" s="4" t="s">
        <v>9</v>
      </c>
      <c r="B150" s="42">
        <v>200</v>
      </c>
      <c r="C150" s="42"/>
      <c r="D150" s="42"/>
      <c r="E150" s="42">
        <f aca="true" t="shared" si="17" ref="E150:E166">SUM(A150:D150)</f>
        <v>200</v>
      </c>
      <c r="F150" s="42"/>
      <c r="G150" s="42"/>
      <c r="H150" s="42">
        <f>SUM(E150:G150)</f>
        <v>200</v>
      </c>
    </row>
    <row r="151" spans="1:8" ht="12.75" customHeight="1">
      <c r="A151" s="4" t="s">
        <v>18</v>
      </c>
      <c r="B151" s="42">
        <v>3500</v>
      </c>
      <c r="C151" s="42">
        <v>476</v>
      </c>
      <c r="D151" s="42"/>
      <c r="E151" s="42">
        <f t="shared" si="17"/>
        <v>3976</v>
      </c>
      <c r="F151" s="42">
        <v>256.6</v>
      </c>
      <c r="G151" s="42"/>
      <c r="H151" s="42">
        <f aca="true" t="shared" si="18" ref="H151:H176">SUM(E151:G151)</f>
        <v>4232.6</v>
      </c>
    </row>
    <row r="152" spans="1:8" ht="12.75" customHeight="1">
      <c r="A152" s="30" t="s">
        <v>153</v>
      </c>
      <c r="B152" s="42">
        <v>20000</v>
      </c>
      <c r="C152" s="42">
        <f>-1950-515</f>
        <v>-2465</v>
      </c>
      <c r="D152" s="42"/>
      <c r="E152" s="42">
        <f t="shared" si="17"/>
        <v>17535</v>
      </c>
      <c r="F152" s="42"/>
      <c r="G152" s="42"/>
      <c r="H152" s="42">
        <f t="shared" si="18"/>
        <v>17535</v>
      </c>
    </row>
    <row r="153" spans="1:8" ht="12.75" customHeight="1">
      <c r="A153" s="30" t="s">
        <v>180</v>
      </c>
      <c r="B153" s="42"/>
      <c r="C153" s="42">
        <v>16598.5</v>
      </c>
      <c r="D153" s="42"/>
      <c r="E153" s="42">
        <f t="shared" si="17"/>
        <v>16598.5</v>
      </c>
      <c r="F153" s="42"/>
      <c r="G153" s="42"/>
      <c r="H153" s="42">
        <f t="shared" si="18"/>
        <v>16598.5</v>
      </c>
    </row>
    <row r="154" spans="1:8" ht="12.75" customHeight="1">
      <c r="A154" s="10" t="s">
        <v>109</v>
      </c>
      <c r="B154" s="42"/>
      <c r="C154" s="42"/>
      <c r="D154" s="42"/>
      <c r="E154" s="42">
        <f t="shared" si="17"/>
        <v>0</v>
      </c>
      <c r="F154" s="42">
        <v>1141.2</v>
      </c>
      <c r="G154" s="42"/>
      <c r="H154" s="42">
        <f t="shared" si="18"/>
        <v>1141.2</v>
      </c>
    </row>
    <row r="155" spans="1:8" ht="12.75" customHeight="1">
      <c r="A155" s="4" t="s">
        <v>108</v>
      </c>
      <c r="B155" s="42"/>
      <c r="C155" s="42"/>
      <c r="D155" s="42"/>
      <c r="E155" s="42">
        <f t="shared" si="17"/>
        <v>0</v>
      </c>
      <c r="F155" s="42">
        <v>6118</v>
      </c>
      <c r="G155" s="42"/>
      <c r="H155" s="42">
        <f t="shared" si="18"/>
        <v>6118</v>
      </c>
    </row>
    <row r="156" spans="1:8" ht="12.75" customHeight="1">
      <c r="A156" s="4" t="s">
        <v>201</v>
      </c>
      <c r="B156" s="42"/>
      <c r="C156" s="42"/>
      <c r="D156" s="42"/>
      <c r="E156" s="42"/>
      <c r="F156" s="42">
        <v>12</v>
      </c>
      <c r="G156" s="42"/>
      <c r="H156" s="42">
        <f t="shared" si="18"/>
        <v>12</v>
      </c>
    </row>
    <row r="157" spans="1:8" ht="12.75" customHeight="1">
      <c r="A157" s="4" t="s">
        <v>175</v>
      </c>
      <c r="B157" s="42"/>
      <c r="C157" s="42">
        <v>13</v>
      </c>
      <c r="D157" s="42"/>
      <c r="E157" s="42">
        <f t="shared" si="17"/>
        <v>13</v>
      </c>
      <c r="F157" s="42"/>
      <c r="G157" s="42"/>
      <c r="H157" s="42">
        <f t="shared" si="18"/>
        <v>13</v>
      </c>
    </row>
    <row r="158" spans="1:8" ht="12.75" customHeight="1">
      <c r="A158" s="4" t="s">
        <v>154</v>
      </c>
      <c r="B158" s="42"/>
      <c r="C158" s="42">
        <v>1022</v>
      </c>
      <c r="D158" s="42"/>
      <c r="E158" s="42">
        <f t="shared" si="17"/>
        <v>1022</v>
      </c>
      <c r="F158" s="42"/>
      <c r="G158" s="42"/>
      <c r="H158" s="42">
        <f t="shared" si="18"/>
        <v>1022</v>
      </c>
    </row>
    <row r="159" spans="1:8" ht="12.75" customHeight="1" hidden="1">
      <c r="A159" s="4" t="s">
        <v>120</v>
      </c>
      <c r="B159" s="42"/>
      <c r="C159" s="42"/>
      <c r="D159" s="42"/>
      <c r="E159" s="42">
        <f t="shared" si="17"/>
        <v>0</v>
      </c>
      <c r="F159" s="42"/>
      <c r="G159" s="42"/>
      <c r="H159" s="42">
        <f t="shared" si="18"/>
        <v>0</v>
      </c>
    </row>
    <row r="160" spans="1:8" ht="12.75" customHeight="1">
      <c r="A160" s="4" t="s">
        <v>155</v>
      </c>
      <c r="B160" s="42"/>
      <c r="C160" s="42">
        <v>300.6</v>
      </c>
      <c r="D160" s="42"/>
      <c r="E160" s="42">
        <f t="shared" si="17"/>
        <v>300.6</v>
      </c>
      <c r="F160" s="42">
        <v>204.5</v>
      </c>
      <c r="G160" s="42"/>
      <c r="H160" s="42">
        <f t="shared" si="18"/>
        <v>505.1</v>
      </c>
    </row>
    <row r="161" spans="1:8" ht="12.75" customHeight="1" hidden="1">
      <c r="A161" s="8" t="s">
        <v>111</v>
      </c>
      <c r="B161" s="42"/>
      <c r="C161" s="42"/>
      <c r="D161" s="42"/>
      <c r="E161" s="42">
        <f t="shared" si="17"/>
        <v>0</v>
      </c>
      <c r="F161" s="42"/>
      <c r="G161" s="42"/>
      <c r="H161" s="42">
        <f t="shared" si="18"/>
        <v>0</v>
      </c>
    </row>
    <row r="162" spans="1:8" ht="12.75" customHeight="1" hidden="1">
      <c r="A162" s="8" t="s">
        <v>112</v>
      </c>
      <c r="B162" s="42"/>
      <c r="C162" s="42"/>
      <c r="D162" s="42"/>
      <c r="E162" s="42">
        <f t="shared" si="17"/>
        <v>0</v>
      </c>
      <c r="F162" s="42"/>
      <c r="G162" s="42"/>
      <c r="H162" s="42">
        <f t="shared" si="18"/>
        <v>0</v>
      </c>
    </row>
    <row r="163" spans="1:8" ht="12.75" customHeight="1" hidden="1">
      <c r="A163" s="8" t="s">
        <v>124</v>
      </c>
      <c r="B163" s="42"/>
      <c r="C163" s="42"/>
      <c r="D163" s="42"/>
      <c r="E163" s="42">
        <f t="shared" si="17"/>
        <v>0</v>
      </c>
      <c r="F163" s="42"/>
      <c r="G163" s="42"/>
      <c r="H163" s="42">
        <f t="shared" si="18"/>
        <v>0</v>
      </c>
    </row>
    <row r="164" spans="1:8" ht="12.75" customHeight="1">
      <c r="A164" s="4" t="s">
        <v>72</v>
      </c>
      <c r="B164" s="42">
        <v>25000</v>
      </c>
      <c r="C164" s="42"/>
      <c r="D164" s="42">
        <v>-25000</v>
      </c>
      <c r="E164" s="42">
        <f t="shared" si="17"/>
        <v>0</v>
      </c>
      <c r="F164" s="42"/>
      <c r="G164" s="42"/>
      <c r="H164" s="42">
        <f t="shared" si="18"/>
        <v>0</v>
      </c>
    </row>
    <row r="165" spans="1:8" ht="12.75" customHeight="1">
      <c r="A165" s="4" t="s">
        <v>55</v>
      </c>
      <c r="B165" s="42">
        <v>45000</v>
      </c>
      <c r="C165" s="42"/>
      <c r="D165" s="42">
        <v>38723</v>
      </c>
      <c r="E165" s="42">
        <f t="shared" si="17"/>
        <v>83723</v>
      </c>
      <c r="F165" s="42"/>
      <c r="G165" s="42"/>
      <c r="H165" s="42">
        <f t="shared" si="18"/>
        <v>83723</v>
      </c>
    </row>
    <row r="166" spans="1:8" ht="12" customHeight="1">
      <c r="A166" s="4" t="s">
        <v>130</v>
      </c>
      <c r="B166" s="42">
        <v>1800</v>
      </c>
      <c r="C166" s="42">
        <v>1000</v>
      </c>
      <c r="D166" s="42">
        <v>1750</v>
      </c>
      <c r="E166" s="42">
        <f t="shared" si="17"/>
        <v>4550</v>
      </c>
      <c r="F166" s="42"/>
      <c r="G166" s="42"/>
      <c r="H166" s="42">
        <f t="shared" si="18"/>
        <v>4550</v>
      </c>
    </row>
    <row r="167" spans="1:8" ht="12" customHeight="1">
      <c r="A167" s="4" t="s">
        <v>202</v>
      </c>
      <c r="B167" s="42"/>
      <c r="C167" s="42"/>
      <c r="D167" s="42"/>
      <c r="E167" s="42"/>
      <c r="F167" s="42">
        <v>730</v>
      </c>
      <c r="G167" s="42"/>
      <c r="H167" s="42">
        <f t="shared" si="18"/>
        <v>730</v>
      </c>
    </row>
    <row r="168" spans="1:8" ht="12" customHeight="1">
      <c r="A168" s="4" t="s">
        <v>44</v>
      </c>
      <c r="B168" s="42">
        <f>SUM(B169:B176)</f>
        <v>84000</v>
      </c>
      <c r="C168" s="42">
        <f>SUM(C169:C176)</f>
        <v>-1500</v>
      </c>
      <c r="D168" s="42">
        <f>SUM(D169:D176)</f>
        <v>-15570.7</v>
      </c>
      <c r="E168" s="42">
        <f>SUM(E169:E176)</f>
        <v>66929.3</v>
      </c>
      <c r="F168" s="42">
        <f>SUM(F169:F176)</f>
        <v>-27889.3</v>
      </c>
      <c r="G168" s="42"/>
      <c r="H168" s="42">
        <f t="shared" si="18"/>
        <v>39040</v>
      </c>
    </row>
    <row r="169" spans="1:8" ht="12" customHeight="1">
      <c r="A169" s="4" t="s">
        <v>131</v>
      </c>
      <c r="B169" s="42">
        <v>500</v>
      </c>
      <c r="C169" s="42"/>
      <c r="D169" s="42"/>
      <c r="E169" s="42">
        <f>SUM(A169:D169)</f>
        <v>500</v>
      </c>
      <c r="F169" s="42"/>
      <c r="G169" s="42"/>
      <c r="H169" s="42">
        <f t="shared" si="18"/>
        <v>500</v>
      </c>
    </row>
    <row r="170" spans="1:8" ht="12" customHeight="1">
      <c r="A170" s="4" t="s">
        <v>132</v>
      </c>
      <c r="B170" s="42">
        <v>9000</v>
      </c>
      <c r="C170" s="42">
        <v>-1500</v>
      </c>
      <c r="D170" s="42"/>
      <c r="E170" s="42">
        <f aca="true" t="shared" si="19" ref="E170:E176">SUM(A170:D170)</f>
        <v>7500</v>
      </c>
      <c r="F170" s="42"/>
      <c r="G170" s="42"/>
      <c r="H170" s="42">
        <f t="shared" si="18"/>
        <v>7500</v>
      </c>
    </row>
    <row r="171" spans="1:8" ht="12" customHeight="1">
      <c r="A171" s="4" t="s">
        <v>133</v>
      </c>
      <c r="B171" s="42">
        <v>13530</v>
      </c>
      <c r="C171" s="42"/>
      <c r="D171" s="42">
        <v>-13530</v>
      </c>
      <c r="E171" s="42">
        <f t="shared" si="19"/>
        <v>0</v>
      </c>
      <c r="F171" s="42"/>
      <c r="G171" s="42"/>
      <c r="H171" s="42">
        <f t="shared" si="18"/>
        <v>0</v>
      </c>
    </row>
    <row r="172" spans="1:8" ht="12" customHeight="1">
      <c r="A172" s="4" t="s">
        <v>134</v>
      </c>
      <c r="B172" s="42">
        <v>2700</v>
      </c>
      <c r="C172" s="42"/>
      <c r="D172" s="42"/>
      <c r="E172" s="42">
        <f t="shared" si="19"/>
        <v>2700</v>
      </c>
      <c r="F172" s="42"/>
      <c r="G172" s="42"/>
      <c r="H172" s="42">
        <f t="shared" si="18"/>
        <v>2700</v>
      </c>
    </row>
    <row r="173" spans="1:8" ht="12" customHeight="1">
      <c r="A173" s="4" t="s">
        <v>135</v>
      </c>
      <c r="B173" s="42">
        <v>4510</v>
      </c>
      <c r="C173" s="42"/>
      <c r="D173" s="42"/>
      <c r="E173" s="42">
        <f t="shared" si="19"/>
        <v>4510</v>
      </c>
      <c r="F173" s="42">
        <v>-4510</v>
      </c>
      <c r="G173" s="42"/>
      <c r="H173" s="42">
        <f t="shared" si="18"/>
        <v>0</v>
      </c>
    </row>
    <row r="174" spans="1:8" ht="12" customHeight="1">
      <c r="A174" s="4" t="s">
        <v>136</v>
      </c>
      <c r="B174" s="42">
        <v>10280</v>
      </c>
      <c r="C174" s="42"/>
      <c r="D174" s="42"/>
      <c r="E174" s="42">
        <f t="shared" si="19"/>
        <v>10280</v>
      </c>
      <c r="F174" s="42">
        <v>-10280</v>
      </c>
      <c r="G174" s="42"/>
      <c r="H174" s="42">
        <f t="shared" si="18"/>
        <v>0</v>
      </c>
    </row>
    <row r="175" spans="1:8" ht="12" customHeight="1">
      <c r="A175" s="4" t="s">
        <v>137</v>
      </c>
      <c r="B175" s="42">
        <v>28340</v>
      </c>
      <c r="C175" s="42"/>
      <c r="D175" s="42"/>
      <c r="E175" s="42">
        <f t="shared" si="19"/>
        <v>28340</v>
      </c>
      <c r="F175" s="42"/>
      <c r="G175" s="42"/>
      <c r="H175" s="42">
        <f t="shared" si="18"/>
        <v>28340</v>
      </c>
    </row>
    <row r="176" spans="1:8" ht="12" customHeight="1">
      <c r="A176" s="36" t="s">
        <v>138</v>
      </c>
      <c r="B176" s="46">
        <v>15140</v>
      </c>
      <c r="C176" s="46"/>
      <c r="D176" s="46">
        <v>-2040.7</v>
      </c>
      <c r="E176" s="46">
        <f t="shared" si="19"/>
        <v>13099.3</v>
      </c>
      <c r="F176" s="46">
        <v>-13099.3</v>
      </c>
      <c r="G176" s="46"/>
      <c r="H176" s="46">
        <f t="shared" si="18"/>
        <v>0</v>
      </c>
    </row>
    <row r="177" spans="1:8" ht="12.75" customHeight="1">
      <c r="A177" s="13" t="s">
        <v>35</v>
      </c>
      <c r="B177" s="45">
        <f aca="true" t="shared" si="20" ref="B177:H177">SUM(B179:B187)</f>
        <v>46000</v>
      </c>
      <c r="C177" s="45">
        <f t="shared" si="20"/>
        <v>2265</v>
      </c>
      <c r="D177" s="45">
        <f t="shared" si="20"/>
        <v>-5703.200000000001</v>
      </c>
      <c r="E177" s="45">
        <f t="shared" si="20"/>
        <v>42561.8</v>
      </c>
      <c r="F177" s="45">
        <f t="shared" si="20"/>
        <v>1702.6</v>
      </c>
      <c r="G177" s="45">
        <f t="shared" si="20"/>
        <v>0</v>
      </c>
      <c r="H177" s="45">
        <f t="shared" si="20"/>
        <v>44264.4</v>
      </c>
    </row>
    <row r="178" spans="1:8" ht="10.5" customHeight="1">
      <c r="A178" s="30" t="s">
        <v>1</v>
      </c>
      <c r="B178" s="42"/>
      <c r="C178" s="42"/>
      <c r="D178" s="42"/>
      <c r="E178" s="42"/>
      <c r="F178" s="42"/>
      <c r="G178" s="42"/>
      <c r="H178" s="42"/>
    </row>
    <row r="179" spans="1:8" ht="12.75" customHeight="1">
      <c r="A179" s="4" t="s">
        <v>156</v>
      </c>
      <c r="B179" s="42"/>
      <c r="C179" s="42">
        <v>1950</v>
      </c>
      <c r="D179" s="42"/>
      <c r="E179" s="42">
        <f>B179+C179+D179</f>
        <v>1950</v>
      </c>
      <c r="F179" s="42"/>
      <c r="G179" s="42"/>
      <c r="H179" s="42">
        <f aca="true" t="shared" si="21" ref="H179:H187">SUM(E179:G179)</f>
        <v>1950</v>
      </c>
    </row>
    <row r="180" spans="1:8" ht="12.75" customHeight="1">
      <c r="A180" s="4" t="s">
        <v>181</v>
      </c>
      <c r="B180" s="42"/>
      <c r="C180" s="42">
        <v>515</v>
      </c>
      <c r="D180" s="42"/>
      <c r="E180" s="42">
        <f>B180+C180+D180</f>
        <v>515</v>
      </c>
      <c r="F180" s="42"/>
      <c r="G180" s="42"/>
      <c r="H180" s="42">
        <f t="shared" si="21"/>
        <v>515</v>
      </c>
    </row>
    <row r="181" spans="1:8" ht="12.75" customHeight="1" hidden="1">
      <c r="A181" s="4" t="s">
        <v>107</v>
      </c>
      <c r="B181" s="42"/>
      <c r="C181" s="42"/>
      <c r="D181" s="42"/>
      <c r="E181" s="42">
        <f>B181+C181+D181</f>
        <v>0</v>
      </c>
      <c r="F181" s="42"/>
      <c r="G181" s="42"/>
      <c r="H181" s="42">
        <f t="shared" si="21"/>
        <v>0</v>
      </c>
    </row>
    <row r="182" spans="1:8" ht="12.75" customHeight="1">
      <c r="A182" s="30" t="s">
        <v>110</v>
      </c>
      <c r="B182" s="42"/>
      <c r="C182" s="42"/>
      <c r="D182" s="42"/>
      <c r="E182" s="42">
        <f>B182+C182</f>
        <v>0</v>
      </c>
      <c r="F182" s="42">
        <v>1702.6</v>
      </c>
      <c r="G182" s="42"/>
      <c r="H182" s="42">
        <f t="shared" si="21"/>
        <v>1702.6</v>
      </c>
    </row>
    <row r="183" spans="1:8" ht="12.75" customHeight="1" hidden="1">
      <c r="A183" s="8" t="s">
        <v>112</v>
      </c>
      <c r="B183" s="42"/>
      <c r="C183" s="42"/>
      <c r="D183" s="42"/>
      <c r="E183" s="42">
        <f>B183+C183</f>
        <v>0</v>
      </c>
      <c r="F183" s="42"/>
      <c r="G183" s="42"/>
      <c r="H183" s="42">
        <f t="shared" si="21"/>
        <v>0</v>
      </c>
    </row>
    <row r="184" spans="1:8" ht="12.75" customHeight="1">
      <c r="A184" s="4" t="s">
        <v>175</v>
      </c>
      <c r="B184" s="42"/>
      <c r="C184" s="42">
        <v>600</v>
      </c>
      <c r="D184" s="42"/>
      <c r="E184" s="42">
        <f>B184+C184</f>
        <v>600</v>
      </c>
      <c r="F184" s="42"/>
      <c r="G184" s="42"/>
      <c r="H184" s="42">
        <f t="shared" si="21"/>
        <v>600</v>
      </c>
    </row>
    <row r="185" spans="1:8" ht="12.75" customHeight="1" hidden="1">
      <c r="A185" s="4" t="s">
        <v>157</v>
      </c>
      <c r="B185" s="42"/>
      <c r="C185" s="42"/>
      <c r="D185" s="42"/>
      <c r="E185" s="42">
        <f>B185+C185+D185</f>
        <v>0</v>
      </c>
      <c r="F185" s="42"/>
      <c r="G185" s="42"/>
      <c r="H185" s="42">
        <f t="shared" si="21"/>
        <v>0</v>
      </c>
    </row>
    <row r="186" spans="1:8" ht="12.75" customHeight="1">
      <c r="A186" s="4" t="s">
        <v>72</v>
      </c>
      <c r="B186" s="42">
        <v>20000</v>
      </c>
      <c r="C186" s="42"/>
      <c r="D186" s="42">
        <v>-20000</v>
      </c>
      <c r="E186" s="42">
        <f>B186+C186+D186</f>
        <v>0</v>
      </c>
      <c r="F186" s="42"/>
      <c r="G186" s="42"/>
      <c r="H186" s="42">
        <f t="shared" si="21"/>
        <v>0</v>
      </c>
    </row>
    <row r="187" spans="1:8" ht="12.75" customHeight="1">
      <c r="A187" s="67" t="s">
        <v>55</v>
      </c>
      <c r="B187" s="48">
        <v>26000</v>
      </c>
      <c r="C187" s="48">
        <v>-800</v>
      </c>
      <c r="D187" s="48">
        <v>14296.8</v>
      </c>
      <c r="E187" s="46">
        <f>B187+C187+D187</f>
        <v>39496.8</v>
      </c>
      <c r="F187" s="48"/>
      <c r="G187" s="48"/>
      <c r="H187" s="46">
        <f t="shared" si="21"/>
        <v>39496.8</v>
      </c>
    </row>
    <row r="188" spans="1:8" ht="12" customHeight="1" hidden="1">
      <c r="A188" s="8" t="s">
        <v>81</v>
      </c>
      <c r="B188" s="40"/>
      <c r="C188" s="40"/>
      <c r="D188" s="40"/>
      <c r="E188" s="42">
        <f>B188+C188</f>
        <v>0</v>
      </c>
      <c r="F188" s="40"/>
      <c r="G188" s="40"/>
      <c r="H188" s="42">
        <f>E188+F188</f>
        <v>0</v>
      </c>
    </row>
    <row r="189" spans="1:8" ht="12" customHeight="1" hidden="1">
      <c r="A189" s="8" t="s">
        <v>158</v>
      </c>
      <c r="B189" s="40"/>
      <c r="C189" s="40"/>
      <c r="D189" s="40"/>
      <c r="E189" s="42">
        <f>B189+C189</f>
        <v>0</v>
      </c>
      <c r="F189" s="40"/>
      <c r="G189" s="40"/>
      <c r="H189" s="42">
        <f>E189+F189</f>
        <v>0</v>
      </c>
    </row>
    <row r="190" spans="1:8" ht="19.5" customHeight="1">
      <c r="A190" s="2" t="s">
        <v>17</v>
      </c>
      <c r="B190" s="39">
        <f aca="true" t="shared" si="22" ref="B190:H190">B191+B211</f>
        <v>469830</v>
      </c>
      <c r="C190" s="39">
        <f t="shared" si="22"/>
        <v>1040168.5</v>
      </c>
      <c r="D190" s="39">
        <f t="shared" si="22"/>
        <v>-102879.40000000001</v>
      </c>
      <c r="E190" s="39">
        <f t="shared" si="22"/>
        <v>1407119.0999999999</v>
      </c>
      <c r="F190" s="39">
        <f t="shared" si="22"/>
        <v>1050266.6</v>
      </c>
      <c r="G190" s="39">
        <f t="shared" si="22"/>
        <v>0</v>
      </c>
      <c r="H190" s="39">
        <f t="shared" si="22"/>
        <v>2457385.7</v>
      </c>
    </row>
    <row r="191" spans="1:8" ht="15" customHeight="1">
      <c r="A191" s="6" t="s">
        <v>34</v>
      </c>
      <c r="B191" s="44">
        <f>SUM(B193:B210)</f>
        <v>321330</v>
      </c>
      <c r="C191" s="44">
        <f>SUM(C193:C210)</f>
        <v>1040168.5</v>
      </c>
      <c r="D191" s="44">
        <f>SUM(D193:D210)</f>
        <v>995.3999999999996</v>
      </c>
      <c r="E191" s="44">
        <f>B191+C191+D191</f>
        <v>1362493.9</v>
      </c>
      <c r="F191" s="44">
        <f>SUM(F193:F210)</f>
        <v>1049743.7000000002</v>
      </c>
      <c r="G191" s="44">
        <f>SUM(G193:G210)</f>
        <v>0</v>
      </c>
      <c r="H191" s="44">
        <f>E191+F191+G191</f>
        <v>2412237.6</v>
      </c>
    </row>
    <row r="192" spans="1:8" ht="10.5" customHeight="1">
      <c r="A192" s="10" t="s">
        <v>1</v>
      </c>
      <c r="B192" s="40"/>
      <c r="C192" s="40"/>
      <c r="D192" s="40"/>
      <c r="E192" s="42"/>
      <c r="F192" s="40"/>
      <c r="G192" s="40"/>
      <c r="H192" s="42"/>
    </row>
    <row r="193" spans="1:8" ht="12.75" customHeight="1">
      <c r="A193" s="5" t="s">
        <v>18</v>
      </c>
      <c r="B193" s="42">
        <v>298668</v>
      </c>
      <c r="C193" s="42"/>
      <c r="D193" s="42">
        <v>5016.4</v>
      </c>
      <c r="E193" s="42">
        <f>B193+C193+D193</f>
        <v>303684.4</v>
      </c>
      <c r="F193" s="42">
        <v>-59</v>
      </c>
      <c r="G193" s="42"/>
      <c r="H193" s="42">
        <f>E193+F193+G193</f>
        <v>303625.4</v>
      </c>
    </row>
    <row r="194" spans="1:8" ht="12.75" customHeight="1">
      <c r="A194" s="5" t="s">
        <v>32</v>
      </c>
      <c r="B194" s="42"/>
      <c r="C194" s="42"/>
      <c r="D194" s="42"/>
      <c r="E194" s="42"/>
      <c r="F194" s="42"/>
      <c r="G194" s="42"/>
      <c r="H194" s="42"/>
    </row>
    <row r="195" spans="1:8" ht="12.75" customHeight="1">
      <c r="A195" s="5" t="s">
        <v>29</v>
      </c>
      <c r="B195" s="42"/>
      <c r="C195" s="42">
        <v>389516</v>
      </c>
      <c r="D195" s="42"/>
      <c r="E195" s="42">
        <f>B195+C195+D195</f>
        <v>389516</v>
      </c>
      <c r="F195" s="42">
        <f>392090+2665.8</f>
        <v>394755.8</v>
      </c>
      <c r="G195" s="42"/>
      <c r="H195" s="42">
        <f>E195+F195+G195</f>
        <v>784271.8</v>
      </c>
    </row>
    <row r="196" spans="1:8" ht="12.75" customHeight="1">
      <c r="A196" s="5" t="s">
        <v>30</v>
      </c>
      <c r="B196" s="42"/>
      <c r="C196" s="42">
        <v>42480</v>
      </c>
      <c r="D196" s="42"/>
      <c r="E196" s="42">
        <f>B196+C196</f>
        <v>42480</v>
      </c>
      <c r="F196" s="42">
        <v>39763</v>
      </c>
      <c r="G196" s="42"/>
      <c r="H196" s="42">
        <f aca="true" t="shared" si="23" ref="H196:H210">E196+F196+G196</f>
        <v>82243</v>
      </c>
    </row>
    <row r="197" spans="1:8" ht="12.75" customHeight="1">
      <c r="A197" s="5" t="s">
        <v>31</v>
      </c>
      <c r="B197" s="42"/>
      <c r="C197" s="42">
        <v>606332</v>
      </c>
      <c r="D197" s="42"/>
      <c r="E197" s="42">
        <f>B197+C197+D197</f>
        <v>606332</v>
      </c>
      <c r="F197" s="42">
        <f>608160+1180</f>
        <v>609340</v>
      </c>
      <c r="G197" s="42"/>
      <c r="H197" s="42">
        <f t="shared" si="23"/>
        <v>1215672</v>
      </c>
    </row>
    <row r="198" spans="1:8" ht="12.75" customHeight="1">
      <c r="A198" s="5" t="s">
        <v>105</v>
      </c>
      <c r="B198" s="42"/>
      <c r="C198" s="42"/>
      <c r="D198" s="42"/>
      <c r="E198" s="42">
        <f>B198+C198</f>
        <v>0</v>
      </c>
      <c r="F198" s="42">
        <v>12</v>
      </c>
      <c r="G198" s="42"/>
      <c r="H198" s="42">
        <f t="shared" si="23"/>
        <v>12</v>
      </c>
    </row>
    <row r="199" spans="1:8" ht="12.75" customHeight="1">
      <c r="A199" s="5" t="s">
        <v>45</v>
      </c>
      <c r="B199" s="42"/>
      <c r="C199" s="42">
        <f>14+31.3+8</f>
        <v>53.3</v>
      </c>
      <c r="D199" s="42"/>
      <c r="E199" s="42">
        <f>B199+C199</f>
        <v>53.3</v>
      </c>
      <c r="F199" s="42">
        <f>22.8+7</f>
        <v>29.8</v>
      </c>
      <c r="G199" s="42"/>
      <c r="H199" s="42">
        <f t="shared" si="23"/>
        <v>83.1</v>
      </c>
    </row>
    <row r="200" spans="1:8" ht="12.75" customHeight="1">
      <c r="A200" s="5" t="s">
        <v>121</v>
      </c>
      <c r="B200" s="42"/>
      <c r="C200" s="42">
        <v>1787.2</v>
      </c>
      <c r="D200" s="42"/>
      <c r="E200" s="42">
        <f aca="true" t="shared" si="24" ref="E200:E208">B200+C200</f>
        <v>1787.2</v>
      </c>
      <c r="F200" s="42">
        <v>1086</v>
      </c>
      <c r="G200" s="42"/>
      <c r="H200" s="42">
        <f t="shared" si="23"/>
        <v>2873.2</v>
      </c>
    </row>
    <row r="201" spans="1:8" ht="12.75" customHeight="1">
      <c r="A201" s="5" t="s">
        <v>90</v>
      </c>
      <c r="B201" s="42"/>
      <c r="C201" s="42"/>
      <c r="D201" s="42"/>
      <c r="E201" s="42">
        <f t="shared" si="24"/>
        <v>0</v>
      </c>
      <c r="F201" s="42">
        <v>770</v>
      </c>
      <c r="G201" s="42"/>
      <c r="H201" s="42">
        <f t="shared" si="23"/>
        <v>770</v>
      </c>
    </row>
    <row r="202" spans="1:8" ht="12.75" customHeight="1" hidden="1">
      <c r="A202" s="5" t="s">
        <v>91</v>
      </c>
      <c r="B202" s="42"/>
      <c r="C202" s="42"/>
      <c r="D202" s="42"/>
      <c r="E202" s="42">
        <f t="shared" si="24"/>
        <v>0</v>
      </c>
      <c r="F202" s="42"/>
      <c r="G202" s="42"/>
      <c r="H202" s="42">
        <f t="shared" si="23"/>
        <v>0</v>
      </c>
    </row>
    <row r="203" spans="1:8" ht="12.75" customHeight="1" hidden="1">
      <c r="A203" s="5" t="s">
        <v>92</v>
      </c>
      <c r="B203" s="42"/>
      <c r="C203" s="42"/>
      <c r="D203" s="42"/>
      <c r="E203" s="42">
        <f t="shared" si="24"/>
        <v>0</v>
      </c>
      <c r="F203" s="42"/>
      <c r="G203" s="42"/>
      <c r="H203" s="42">
        <f t="shared" si="23"/>
        <v>0</v>
      </c>
    </row>
    <row r="204" spans="1:8" ht="12.75" customHeight="1" hidden="1">
      <c r="A204" s="5" t="s">
        <v>106</v>
      </c>
      <c r="B204" s="42"/>
      <c r="C204" s="42"/>
      <c r="D204" s="42"/>
      <c r="E204" s="42">
        <f t="shared" si="24"/>
        <v>0</v>
      </c>
      <c r="F204" s="42"/>
      <c r="G204" s="42"/>
      <c r="H204" s="42">
        <f t="shared" si="23"/>
        <v>0</v>
      </c>
    </row>
    <row r="205" spans="1:8" ht="12.75" customHeight="1" hidden="1">
      <c r="A205" s="5" t="s">
        <v>116</v>
      </c>
      <c r="B205" s="42"/>
      <c r="C205" s="42"/>
      <c r="D205" s="42"/>
      <c r="E205" s="42">
        <f t="shared" si="24"/>
        <v>0</v>
      </c>
      <c r="F205" s="42"/>
      <c r="G205" s="42"/>
      <c r="H205" s="42">
        <f t="shared" si="23"/>
        <v>0</v>
      </c>
    </row>
    <row r="206" spans="1:8" ht="12.75" customHeight="1" hidden="1">
      <c r="A206" s="5" t="s">
        <v>122</v>
      </c>
      <c r="B206" s="42"/>
      <c r="C206" s="42"/>
      <c r="D206" s="42"/>
      <c r="E206" s="42">
        <f t="shared" si="24"/>
        <v>0</v>
      </c>
      <c r="F206" s="42"/>
      <c r="G206" s="42"/>
      <c r="H206" s="42">
        <f t="shared" si="23"/>
        <v>0</v>
      </c>
    </row>
    <row r="207" spans="1:8" ht="12.75" customHeight="1" hidden="1">
      <c r="A207" s="5" t="s">
        <v>123</v>
      </c>
      <c r="B207" s="42"/>
      <c r="C207" s="42"/>
      <c r="D207" s="42"/>
      <c r="E207" s="42">
        <f t="shared" si="24"/>
        <v>0</v>
      </c>
      <c r="F207" s="42"/>
      <c r="G207" s="42"/>
      <c r="H207" s="42">
        <f t="shared" si="23"/>
        <v>0</v>
      </c>
    </row>
    <row r="208" spans="1:8" ht="12.75" customHeight="1" hidden="1">
      <c r="A208" s="5" t="s">
        <v>117</v>
      </c>
      <c r="B208" s="42"/>
      <c r="C208" s="42"/>
      <c r="D208" s="42"/>
      <c r="E208" s="42">
        <f t="shared" si="24"/>
        <v>0</v>
      </c>
      <c r="F208" s="42"/>
      <c r="G208" s="42"/>
      <c r="H208" s="42">
        <f t="shared" si="23"/>
        <v>0</v>
      </c>
    </row>
    <row r="209" spans="1:8" ht="12.75" customHeight="1">
      <c r="A209" s="5" t="s">
        <v>44</v>
      </c>
      <c r="B209" s="42"/>
      <c r="C209" s="42"/>
      <c r="D209" s="42"/>
      <c r="E209" s="42"/>
      <c r="F209" s="42">
        <v>4357.1</v>
      </c>
      <c r="G209" s="42"/>
      <c r="H209" s="42">
        <f t="shared" si="23"/>
        <v>4357.1</v>
      </c>
    </row>
    <row r="210" spans="1:8" ht="12.75" customHeight="1">
      <c r="A210" s="4" t="s">
        <v>9</v>
      </c>
      <c r="B210" s="42">
        <v>22662</v>
      </c>
      <c r="C210" s="42"/>
      <c r="D210" s="42">
        <v>-4021</v>
      </c>
      <c r="E210" s="42">
        <f>B210+C210+D210</f>
        <v>18641</v>
      </c>
      <c r="F210" s="42">
        <v>-311</v>
      </c>
      <c r="G210" s="42"/>
      <c r="H210" s="42">
        <f t="shared" si="23"/>
        <v>18330</v>
      </c>
    </row>
    <row r="211" spans="1:8" ht="15" customHeight="1">
      <c r="A211" s="13" t="s">
        <v>35</v>
      </c>
      <c r="B211" s="45">
        <f>SUM(B214:B215)</f>
        <v>148500</v>
      </c>
      <c r="C211" s="45">
        <f>SUM(C214:C215)</f>
        <v>0</v>
      </c>
      <c r="D211" s="45">
        <f>SUM(D214:D215)</f>
        <v>-103874.8</v>
      </c>
      <c r="E211" s="44">
        <f>B211+C211+D211</f>
        <v>44625.2</v>
      </c>
      <c r="F211" s="45">
        <f>SUM(F213:F215)</f>
        <v>522.9</v>
      </c>
      <c r="G211" s="45">
        <f>SUM(G214:G215)</f>
        <v>0</v>
      </c>
      <c r="H211" s="44">
        <f>E211+F211+G211</f>
        <v>45148.1</v>
      </c>
    </row>
    <row r="212" spans="1:8" ht="10.5" customHeight="1">
      <c r="A212" s="3" t="s">
        <v>1</v>
      </c>
      <c r="B212" s="42"/>
      <c r="C212" s="42"/>
      <c r="D212" s="42"/>
      <c r="E212" s="39"/>
      <c r="F212" s="42"/>
      <c r="G212" s="42"/>
      <c r="H212" s="39"/>
    </row>
    <row r="213" spans="1:8" ht="12.75" customHeight="1">
      <c r="A213" s="5" t="s">
        <v>152</v>
      </c>
      <c r="B213" s="42"/>
      <c r="C213" s="42"/>
      <c r="D213" s="42"/>
      <c r="E213" s="39"/>
      <c r="F213" s="42">
        <v>370</v>
      </c>
      <c r="G213" s="42"/>
      <c r="H213" s="42">
        <f>E213+F213+G213</f>
        <v>370</v>
      </c>
    </row>
    <row r="214" spans="1:8" ht="12.75" customHeight="1">
      <c r="A214" s="8" t="s">
        <v>44</v>
      </c>
      <c r="B214" s="40"/>
      <c r="C214" s="40"/>
      <c r="D214" s="40"/>
      <c r="E214" s="42">
        <f>B214+C214+D214</f>
        <v>0</v>
      </c>
      <c r="F214" s="40">
        <v>152.9</v>
      </c>
      <c r="G214" s="40"/>
      <c r="H214" s="42">
        <f>E214+F214+G214</f>
        <v>152.9</v>
      </c>
    </row>
    <row r="215" spans="1:8" ht="12.75" customHeight="1">
      <c r="A215" s="37" t="s">
        <v>139</v>
      </c>
      <c r="B215" s="48">
        <v>148500</v>
      </c>
      <c r="C215" s="48"/>
      <c r="D215" s="48">
        <v>-103874.8</v>
      </c>
      <c r="E215" s="46">
        <f>B215+C215+D215</f>
        <v>44625.2</v>
      </c>
      <c r="F215" s="48"/>
      <c r="G215" s="48"/>
      <c r="H215" s="46">
        <f>E215+F215+G215</f>
        <v>44625.2</v>
      </c>
    </row>
    <row r="216" spans="1:8" ht="19.5" customHeight="1">
      <c r="A216" s="2" t="s">
        <v>19</v>
      </c>
      <c r="B216" s="39">
        <f aca="true" t="shared" si="25" ref="B216:H216">B217+B226</f>
        <v>314796.1</v>
      </c>
      <c r="C216" s="39">
        <f t="shared" si="25"/>
        <v>50440.4</v>
      </c>
      <c r="D216" s="39">
        <f t="shared" si="25"/>
        <v>3022.4</v>
      </c>
      <c r="E216" s="39">
        <f t="shared" si="25"/>
        <v>368258.9</v>
      </c>
      <c r="F216" s="39">
        <f t="shared" si="25"/>
        <v>23743.8</v>
      </c>
      <c r="G216" s="39">
        <f t="shared" si="25"/>
        <v>0</v>
      </c>
      <c r="H216" s="39">
        <f t="shared" si="25"/>
        <v>392002.7</v>
      </c>
    </row>
    <row r="217" spans="1:8" ht="12.75" customHeight="1">
      <c r="A217" s="6" t="s">
        <v>34</v>
      </c>
      <c r="B217" s="44">
        <f>SUM(B219:B225)</f>
        <v>299181</v>
      </c>
      <c r="C217" s="44">
        <f>SUM(C219:C225)</f>
        <v>50440.4</v>
      </c>
      <c r="D217" s="44">
        <f>SUM(D219:D225)</f>
        <v>3000</v>
      </c>
      <c r="E217" s="44">
        <f>B217+C217+D217</f>
        <v>352621.4</v>
      </c>
      <c r="F217" s="44">
        <f>SUM(F219:F225)</f>
        <v>19543.8</v>
      </c>
      <c r="G217" s="44">
        <f>SUM(G219:G225)</f>
        <v>0</v>
      </c>
      <c r="H217" s="44">
        <f>E217+F217+G217</f>
        <v>372165.2</v>
      </c>
    </row>
    <row r="218" spans="1:8" ht="10.5" customHeight="1">
      <c r="A218" s="3" t="s">
        <v>1</v>
      </c>
      <c r="B218" s="42"/>
      <c r="C218" s="42"/>
      <c r="D218" s="42"/>
      <c r="E218" s="39"/>
      <c r="F218" s="42"/>
      <c r="G218" s="42"/>
      <c r="H218" s="39"/>
    </row>
    <row r="219" spans="1:8" ht="12.75" customHeight="1">
      <c r="A219" s="8" t="s">
        <v>18</v>
      </c>
      <c r="B219" s="40">
        <v>189798</v>
      </c>
      <c r="C219" s="40"/>
      <c r="D219" s="40"/>
      <c r="E219" s="42">
        <f aca="true" t="shared" si="26" ref="E219:E226">B219+C219+D219</f>
        <v>189798</v>
      </c>
      <c r="F219" s="40"/>
      <c r="G219" s="40"/>
      <c r="H219" s="42">
        <f aca="true" t="shared" si="27" ref="H219:H226">E219+F219+G219</f>
        <v>189798</v>
      </c>
    </row>
    <row r="220" spans="1:8" ht="12.75" customHeight="1">
      <c r="A220" s="5" t="s">
        <v>147</v>
      </c>
      <c r="B220" s="42">
        <v>68960</v>
      </c>
      <c r="C220" s="42"/>
      <c r="D220" s="42"/>
      <c r="E220" s="42">
        <f t="shared" si="26"/>
        <v>68960</v>
      </c>
      <c r="F220" s="42">
        <f>19543.8+500</f>
        <v>20043.8</v>
      </c>
      <c r="G220" s="42"/>
      <c r="H220" s="42">
        <f t="shared" si="27"/>
        <v>89003.8</v>
      </c>
    </row>
    <row r="221" spans="1:8" ht="12.75" customHeight="1">
      <c r="A221" s="5" t="s">
        <v>9</v>
      </c>
      <c r="B221" s="42">
        <v>36242</v>
      </c>
      <c r="C221" s="42"/>
      <c r="D221" s="42"/>
      <c r="E221" s="42">
        <f t="shared" si="26"/>
        <v>36242</v>
      </c>
      <c r="F221" s="42">
        <v>-500</v>
      </c>
      <c r="G221" s="42"/>
      <c r="H221" s="42">
        <f t="shared" si="27"/>
        <v>35742</v>
      </c>
    </row>
    <row r="222" spans="1:8" ht="12.75" customHeight="1">
      <c r="A222" s="5" t="s">
        <v>174</v>
      </c>
      <c r="B222" s="42"/>
      <c r="C222" s="42">
        <v>440.4</v>
      </c>
      <c r="D222" s="42"/>
      <c r="E222" s="42">
        <f t="shared" si="26"/>
        <v>440.4</v>
      </c>
      <c r="F222" s="42"/>
      <c r="G222" s="42"/>
      <c r="H222" s="42">
        <f t="shared" si="27"/>
        <v>440.4</v>
      </c>
    </row>
    <row r="223" spans="1:8" ht="12.75" customHeight="1">
      <c r="A223" s="5" t="s">
        <v>182</v>
      </c>
      <c r="B223" s="42"/>
      <c r="C223" s="42">
        <v>50000</v>
      </c>
      <c r="D223" s="42"/>
      <c r="E223" s="42">
        <f t="shared" si="26"/>
        <v>50000</v>
      </c>
      <c r="F223" s="42"/>
      <c r="G223" s="42"/>
      <c r="H223" s="42">
        <f t="shared" si="27"/>
        <v>50000</v>
      </c>
    </row>
    <row r="224" spans="1:8" ht="12.75" customHeight="1">
      <c r="A224" s="5" t="s">
        <v>55</v>
      </c>
      <c r="B224" s="42"/>
      <c r="C224" s="42"/>
      <c r="D224" s="42">
        <v>3000</v>
      </c>
      <c r="E224" s="42">
        <f t="shared" si="26"/>
        <v>3000</v>
      </c>
      <c r="F224" s="42"/>
      <c r="G224" s="42"/>
      <c r="H224" s="42">
        <f t="shared" si="27"/>
        <v>3000</v>
      </c>
    </row>
    <row r="225" spans="1:8" ht="12.75" customHeight="1">
      <c r="A225" s="4" t="s">
        <v>140</v>
      </c>
      <c r="B225" s="42">
        <v>4181</v>
      </c>
      <c r="C225" s="42"/>
      <c r="D225" s="42"/>
      <c r="E225" s="42">
        <f t="shared" si="26"/>
        <v>4181</v>
      </c>
      <c r="F225" s="42"/>
      <c r="G225" s="42"/>
      <c r="H225" s="42">
        <f t="shared" si="27"/>
        <v>4181</v>
      </c>
    </row>
    <row r="226" spans="1:8" ht="15" customHeight="1">
      <c r="A226" s="6" t="s">
        <v>35</v>
      </c>
      <c r="B226" s="44">
        <f>SUM(B228:B230)</f>
        <v>15615.1</v>
      </c>
      <c r="C226" s="44">
        <f>SUM(C228:C230)</f>
        <v>0</v>
      </c>
      <c r="D226" s="44">
        <f>SUM(D228:D230)</f>
        <v>22.4</v>
      </c>
      <c r="E226" s="44">
        <f t="shared" si="26"/>
        <v>15637.5</v>
      </c>
      <c r="F226" s="44">
        <f>SUM(F228:F231)</f>
        <v>4200</v>
      </c>
      <c r="G226" s="44">
        <f>SUM(G228:G230)</f>
        <v>0</v>
      </c>
      <c r="H226" s="44">
        <f t="shared" si="27"/>
        <v>19837.5</v>
      </c>
    </row>
    <row r="227" spans="1:8" ht="10.5" customHeight="1">
      <c r="A227" s="3" t="s">
        <v>1</v>
      </c>
      <c r="B227" s="42"/>
      <c r="C227" s="42"/>
      <c r="D227" s="42"/>
      <c r="E227" s="42"/>
      <c r="F227" s="42"/>
      <c r="G227" s="42"/>
      <c r="H227" s="42"/>
    </row>
    <row r="228" spans="1:8" ht="12.75" customHeight="1" hidden="1">
      <c r="A228" s="5" t="s">
        <v>41</v>
      </c>
      <c r="B228" s="42"/>
      <c r="C228" s="42"/>
      <c r="D228" s="42"/>
      <c r="E228" s="42">
        <f>B228+C228+D228</f>
        <v>0</v>
      </c>
      <c r="F228" s="42"/>
      <c r="G228" s="42"/>
      <c r="H228" s="42">
        <f>E228+F228+G228</f>
        <v>0</v>
      </c>
    </row>
    <row r="229" spans="1:8" ht="12.75" customHeight="1" hidden="1">
      <c r="A229" s="5" t="s">
        <v>152</v>
      </c>
      <c r="B229" s="42"/>
      <c r="C229" s="42"/>
      <c r="D229" s="42"/>
      <c r="E229" s="42">
        <f>SUM(B229:D229)</f>
        <v>0</v>
      </c>
      <c r="F229" s="42"/>
      <c r="G229" s="42"/>
      <c r="H229" s="42">
        <f>SUM(E229:G229)</f>
        <v>0</v>
      </c>
    </row>
    <row r="230" spans="1:8" ht="12.75" customHeight="1">
      <c r="A230" s="4" t="s">
        <v>139</v>
      </c>
      <c r="B230" s="42">
        <v>15615.1</v>
      </c>
      <c r="C230" s="42"/>
      <c r="D230" s="42">
        <v>22.4</v>
      </c>
      <c r="E230" s="42">
        <f>B230+C230+D230</f>
        <v>15637.5</v>
      </c>
      <c r="F230" s="42"/>
      <c r="G230" s="42"/>
      <c r="H230" s="42">
        <f>E230+F230+G230</f>
        <v>15637.5</v>
      </c>
    </row>
    <row r="231" spans="1:8" ht="12.75" customHeight="1">
      <c r="A231" s="36" t="s">
        <v>41</v>
      </c>
      <c r="B231" s="68"/>
      <c r="C231" s="68"/>
      <c r="D231" s="68"/>
      <c r="E231" s="68"/>
      <c r="F231" s="68">
        <v>4200</v>
      </c>
      <c r="G231" s="68"/>
      <c r="H231" s="46">
        <f>E231+F231+G231</f>
        <v>4200</v>
      </c>
    </row>
    <row r="232" spans="1:8" ht="19.5" customHeight="1">
      <c r="A232" s="31" t="s">
        <v>20</v>
      </c>
      <c r="B232" s="49">
        <f aca="true" t="shared" si="28" ref="B232:H232">B233+B242</f>
        <v>122329</v>
      </c>
      <c r="C232" s="49">
        <f t="shared" si="28"/>
        <v>16</v>
      </c>
      <c r="D232" s="49">
        <f t="shared" si="28"/>
        <v>0</v>
      </c>
      <c r="E232" s="49">
        <f t="shared" si="28"/>
        <v>122345</v>
      </c>
      <c r="F232" s="49">
        <f t="shared" si="28"/>
        <v>11028</v>
      </c>
      <c r="G232" s="49">
        <f t="shared" si="28"/>
        <v>0</v>
      </c>
      <c r="H232" s="49">
        <f t="shared" si="28"/>
        <v>133373</v>
      </c>
    </row>
    <row r="233" spans="1:8" ht="15" customHeight="1">
      <c r="A233" s="6" t="s">
        <v>34</v>
      </c>
      <c r="B233" s="44">
        <f>SUM(B235:B241)</f>
        <v>122329</v>
      </c>
      <c r="C233" s="44">
        <f>SUM(C235:C241)</f>
        <v>16</v>
      </c>
      <c r="D233" s="44">
        <f>SUM(D235:D241)</f>
        <v>0</v>
      </c>
      <c r="E233" s="44">
        <f>B233+C233+D233</f>
        <v>122345</v>
      </c>
      <c r="F233" s="44">
        <f>SUM(F235:F241)</f>
        <v>11028</v>
      </c>
      <c r="G233" s="44">
        <f>SUM(G235:G241)</f>
        <v>0</v>
      </c>
      <c r="H233" s="44">
        <f>E233+F233+G233</f>
        <v>133373</v>
      </c>
    </row>
    <row r="234" spans="1:8" ht="10.5" customHeight="1">
      <c r="A234" s="3" t="s">
        <v>1</v>
      </c>
      <c r="B234" s="42"/>
      <c r="C234" s="42"/>
      <c r="D234" s="42"/>
      <c r="E234" s="42"/>
      <c r="F234" s="42"/>
      <c r="G234" s="42"/>
      <c r="H234" s="42"/>
    </row>
    <row r="235" spans="1:8" ht="12.75" customHeight="1">
      <c r="A235" s="5" t="s">
        <v>18</v>
      </c>
      <c r="B235" s="42">
        <v>101506</v>
      </c>
      <c r="C235" s="42"/>
      <c r="D235" s="42"/>
      <c r="E235" s="42">
        <f>B235+C235+D235</f>
        <v>101506</v>
      </c>
      <c r="F235" s="42">
        <v>215</v>
      </c>
      <c r="G235" s="42"/>
      <c r="H235" s="42">
        <f>E235+F235+G235</f>
        <v>101721</v>
      </c>
    </row>
    <row r="236" spans="1:8" ht="12.75" customHeight="1">
      <c r="A236" s="5" t="s">
        <v>9</v>
      </c>
      <c r="B236" s="42">
        <v>20823</v>
      </c>
      <c r="C236" s="42">
        <v>-5389</v>
      </c>
      <c r="D236" s="42"/>
      <c r="E236" s="42">
        <f>B236+C236+D236</f>
        <v>15434</v>
      </c>
      <c r="F236" s="42">
        <v>-865</v>
      </c>
      <c r="G236" s="42"/>
      <c r="H236" s="42">
        <f>E236+F236+G236</f>
        <v>14569</v>
      </c>
    </row>
    <row r="237" spans="1:8" ht="12.75" customHeight="1">
      <c r="A237" s="5" t="s">
        <v>148</v>
      </c>
      <c r="B237" s="42"/>
      <c r="C237" s="42">
        <v>5389</v>
      </c>
      <c r="D237" s="42"/>
      <c r="E237" s="42">
        <f>B237+C237+D237</f>
        <v>5389</v>
      </c>
      <c r="F237" s="42">
        <v>650</v>
      </c>
      <c r="G237" s="42"/>
      <c r="H237" s="42">
        <f>E237+F237+G237</f>
        <v>6039</v>
      </c>
    </row>
    <row r="238" spans="1:8" ht="12.75" customHeight="1">
      <c r="A238" s="5" t="s">
        <v>45</v>
      </c>
      <c r="B238" s="42"/>
      <c r="C238" s="42">
        <v>16</v>
      </c>
      <c r="D238" s="42"/>
      <c r="E238" s="42">
        <f>B238+C238</f>
        <v>16</v>
      </c>
      <c r="F238" s="42">
        <v>16</v>
      </c>
      <c r="G238" s="42"/>
      <c r="H238" s="42">
        <f>E238+F238</f>
        <v>32</v>
      </c>
    </row>
    <row r="239" spans="1:8" ht="12.75" customHeight="1">
      <c r="A239" s="5" t="s">
        <v>215</v>
      </c>
      <c r="B239" s="42"/>
      <c r="C239" s="42"/>
      <c r="D239" s="42"/>
      <c r="E239" s="42"/>
      <c r="F239" s="42">
        <v>120</v>
      </c>
      <c r="G239" s="42"/>
      <c r="H239" s="42">
        <f>E239+F239</f>
        <v>120</v>
      </c>
    </row>
    <row r="240" spans="1:8" ht="12.75" customHeight="1">
      <c r="A240" s="5" t="s">
        <v>216</v>
      </c>
      <c r="B240" s="42"/>
      <c r="C240" s="42"/>
      <c r="D240" s="42"/>
      <c r="E240" s="42"/>
      <c r="F240" s="42">
        <v>612</v>
      </c>
      <c r="G240" s="42"/>
      <c r="H240" s="42">
        <f>E240+F240</f>
        <v>612</v>
      </c>
    </row>
    <row r="241" spans="1:8" ht="12.75" customHeight="1">
      <c r="A241" s="32" t="s">
        <v>44</v>
      </c>
      <c r="B241" s="46"/>
      <c r="C241" s="46"/>
      <c r="D241" s="46"/>
      <c r="E241" s="46"/>
      <c r="F241" s="46">
        <v>10280</v>
      </c>
      <c r="G241" s="46"/>
      <c r="H241" s="46">
        <f>E241+F241</f>
        <v>10280</v>
      </c>
    </row>
    <row r="242" spans="1:8" ht="15" customHeight="1" hidden="1">
      <c r="A242" s="6" t="s">
        <v>35</v>
      </c>
      <c r="B242" s="44">
        <f>SUM(B244:B244)</f>
        <v>0</v>
      </c>
      <c r="C242" s="44">
        <f>SUM(C244:C244)</f>
        <v>0</v>
      </c>
      <c r="D242" s="44">
        <f>SUM(D244:D244)</f>
        <v>0</v>
      </c>
      <c r="E242" s="44">
        <f>B242+C242+D242</f>
        <v>0</v>
      </c>
      <c r="F242" s="44">
        <f>SUM(F244:F244)</f>
        <v>0</v>
      </c>
      <c r="G242" s="44">
        <f>SUM(G244:G244)</f>
        <v>0</v>
      </c>
      <c r="H242" s="44">
        <f>E242+F242+G242</f>
        <v>0</v>
      </c>
    </row>
    <row r="243" spans="1:8" ht="10.5" customHeight="1" hidden="1">
      <c r="A243" s="3" t="s">
        <v>1</v>
      </c>
      <c r="B243" s="42"/>
      <c r="C243" s="42"/>
      <c r="D243" s="42"/>
      <c r="E243" s="42"/>
      <c r="F243" s="42"/>
      <c r="G243" s="42"/>
      <c r="H243" s="42"/>
    </row>
    <row r="244" spans="1:8" ht="12.75" customHeight="1" hidden="1">
      <c r="A244" s="32" t="s">
        <v>157</v>
      </c>
      <c r="B244" s="46"/>
      <c r="C244" s="46"/>
      <c r="D244" s="46"/>
      <c r="E244" s="46">
        <f>B244+C244+D244</f>
        <v>0</v>
      </c>
      <c r="F244" s="46"/>
      <c r="G244" s="46"/>
      <c r="H244" s="46">
        <f>E244+F244+G244</f>
        <v>0</v>
      </c>
    </row>
    <row r="245" spans="1:8" ht="19.5" customHeight="1">
      <c r="A245" s="2" t="s">
        <v>36</v>
      </c>
      <c r="B245" s="39">
        <f aca="true" t="shared" si="29" ref="B245:H245">B247+B248</f>
        <v>4845</v>
      </c>
      <c r="C245" s="39">
        <f t="shared" si="29"/>
        <v>0</v>
      </c>
      <c r="D245" s="39">
        <f t="shared" si="29"/>
        <v>0</v>
      </c>
      <c r="E245" s="39">
        <f t="shared" si="29"/>
        <v>4845</v>
      </c>
      <c r="F245" s="39">
        <f t="shared" si="29"/>
        <v>0</v>
      </c>
      <c r="G245" s="39">
        <f t="shared" si="29"/>
        <v>0</v>
      </c>
      <c r="H245" s="39">
        <f t="shared" si="29"/>
        <v>4845</v>
      </c>
    </row>
    <row r="246" spans="1:8" ht="10.5" customHeight="1">
      <c r="A246" s="3" t="s">
        <v>1</v>
      </c>
      <c r="B246" s="42"/>
      <c r="C246" s="42"/>
      <c r="D246" s="42"/>
      <c r="E246" s="42"/>
      <c r="F246" s="42"/>
      <c r="G246" s="42"/>
      <c r="H246" s="42"/>
    </row>
    <row r="247" spans="1:8" ht="12.75" customHeight="1">
      <c r="A247" s="5" t="s">
        <v>141</v>
      </c>
      <c r="B247" s="42">
        <v>4845</v>
      </c>
      <c r="C247" s="42">
        <v>-3130.1</v>
      </c>
      <c r="D247" s="42"/>
      <c r="E247" s="42">
        <f>B247+C247+D247</f>
        <v>1714.9</v>
      </c>
      <c r="F247" s="42"/>
      <c r="G247" s="42"/>
      <c r="H247" s="42">
        <f>E247+F247+G247</f>
        <v>1714.9</v>
      </c>
    </row>
    <row r="248" spans="1:8" ht="12.75" customHeight="1">
      <c r="A248" s="32" t="s">
        <v>148</v>
      </c>
      <c r="B248" s="46"/>
      <c r="C248" s="46">
        <v>3130.1</v>
      </c>
      <c r="D248" s="46"/>
      <c r="E248" s="46">
        <f>B248+C248+D248</f>
        <v>3130.1</v>
      </c>
      <c r="F248" s="46"/>
      <c r="G248" s="46"/>
      <c r="H248" s="46">
        <f>E248+F248+G248</f>
        <v>3130.1</v>
      </c>
    </row>
    <row r="249" spans="1:8" ht="16.5" customHeight="1">
      <c r="A249" s="2" t="s">
        <v>21</v>
      </c>
      <c r="B249" s="39">
        <f>B250+B259</f>
        <v>13853</v>
      </c>
      <c r="C249" s="39">
        <f>C250+C259</f>
        <v>2431.3</v>
      </c>
      <c r="D249" s="39">
        <f>D250+D259</f>
        <v>3000</v>
      </c>
      <c r="E249" s="41">
        <f>B249+C249+D249</f>
        <v>19284.3</v>
      </c>
      <c r="F249" s="39">
        <f>F250+F259</f>
        <v>39143.8</v>
      </c>
      <c r="G249" s="39">
        <f>G250+G259</f>
        <v>0</v>
      </c>
      <c r="H249" s="41">
        <f>E249+F249+G249</f>
        <v>58428.100000000006</v>
      </c>
    </row>
    <row r="250" spans="1:8" ht="12.75" customHeight="1">
      <c r="A250" s="6" t="s">
        <v>34</v>
      </c>
      <c r="B250" s="44">
        <f>SUM(B252:B258)</f>
        <v>13853</v>
      </c>
      <c r="C250" s="44">
        <f>SUM(C252:C258)</f>
        <v>2431.3</v>
      </c>
      <c r="D250" s="44">
        <f>SUM(D252:D258)</f>
        <v>0</v>
      </c>
      <c r="E250" s="45">
        <f>B250+C250+D250</f>
        <v>16284.3</v>
      </c>
      <c r="F250" s="44">
        <f>SUM(F252:F258)</f>
        <v>34281.9</v>
      </c>
      <c r="G250" s="44">
        <f>SUM(G252:G258)</f>
        <v>0</v>
      </c>
      <c r="H250" s="45">
        <f>E250+F250+G250</f>
        <v>50566.2</v>
      </c>
    </row>
    <row r="251" spans="1:8" ht="10.5" customHeight="1">
      <c r="A251" s="3" t="s">
        <v>1</v>
      </c>
      <c r="B251" s="42"/>
      <c r="C251" s="42"/>
      <c r="D251" s="42"/>
      <c r="E251" s="42"/>
      <c r="F251" s="42"/>
      <c r="G251" s="42"/>
      <c r="H251" s="42"/>
    </row>
    <row r="252" spans="1:8" ht="12.75" customHeight="1">
      <c r="A252" s="4" t="s">
        <v>18</v>
      </c>
      <c r="B252" s="42">
        <v>8067</v>
      </c>
      <c r="C252" s="42"/>
      <c r="D252" s="42"/>
      <c r="E252" s="42">
        <f>B252+C252+D252</f>
        <v>8067</v>
      </c>
      <c r="F252" s="42">
        <v>23713.6</v>
      </c>
      <c r="G252" s="42"/>
      <c r="H252" s="42">
        <f>E252+F252+G252</f>
        <v>31780.6</v>
      </c>
    </row>
    <row r="253" spans="1:8" ht="12.75" customHeight="1">
      <c r="A253" s="4" t="s">
        <v>178</v>
      </c>
      <c r="B253" s="42"/>
      <c r="C253" s="42"/>
      <c r="D253" s="42"/>
      <c r="E253" s="42">
        <f>B253+C253</f>
        <v>0</v>
      </c>
      <c r="F253" s="42">
        <v>1050</v>
      </c>
      <c r="G253" s="42"/>
      <c r="H253" s="42">
        <f>E253+F253</f>
        <v>1050</v>
      </c>
    </row>
    <row r="254" spans="1:8" ht="12.75" customHeight="1">
      <c r="A254" s="4" t="s">
        <v>9</v>
      </c>
      <c r="B254" s="42">
        <v>5786</v>
      </c>
      <c r="C254" s="42"/>
      <c r="D254" s="42"/>
      <c r="E254" s="42">
        <f>B254+C254+D254</f>
        <v>5786</v>
      </c>
      <c r="F254" s="42">
        <f>-47.3-50</f>
        <v>-97.3</v>
      </c>
      <c r="G254" s="42"/>
      <c r="H254" s="42">
        <f>E254+F254+G254</f>
        <v>5688.7</v>
      </c>
    </row>
    <row r="255" spans="1:8" ht="12.75" customHeight="1">
      <c r="A255" s="4" t="s">
        <v>148</v>
      </c>
      <c r="B255" s="42"/>
      <c r="C255" s="42"/>
      <c r="D255" s="42"/>
      <c r="E255" s="42">
        <f>B255+C255</f>
        <v>0</v>
      </c>
      <c r="F255" s="42">
        <v>7047.3</v>
      </c>
      <c r="G255" s="42"/>
      <c r="H255" s="42">
        <f>E255+F255</f>
        <v>7047.3</v>
      </c>
    </row>
    <row r="256" spans="1:8" ht="12.75" customHeight="1">
      <c r="A256" s="4" t="s">
        <v>176</v>
      </c>
      <c r="B256" s="42"/>
      <c r="C256" s="42">
        <v>1225.5</v>
      </c>
      <c r="D256" s="42"/>
      <c r="E256" s="42">
        <f>B256+C256+D256</f>
        <v>1225.5</v>
      </c>
      <c r="F256" s="42">
        <v>2568.3</v>
      </c>
      <c r="G256" s="42"/>
      <c r="H256" s="42">
        <f>E256+F256+G256</f>
        <v>3793.8</v>
      </c>
    </row>
    <row r="257" spans="1:8" ht="12.75" customHeight="1">
      <c r="A257" s="8" t="s">
        <v>177</v>
      </c>
      <c r="B257" s="42"/>
      <c r="C257" s="42">
        <v>1130.9</v>
      </c>
      <c r="D257" s="42"/>
      <c r="E257" s="42">
        <f>B257+C257+D257</f>
        <v>1130.9</v>
      </c>
      <c r="F257" s="42"/>
      <c r="G257" s="42"/>
      <c r="H257" s="42">
        <f>E257+F257+G257</f>
        <v>1130.9</v>
      </c>
    </row>
    <row r="258" spans="1:8" ht="12.75" customHeight="1">
      <c r="A258" s="8" t="s">
        <v>118</v>
      </c>
      <c r="B258" s="42"/>
      <c r="C258" s="42">
        <v>74.9</v>
      </c>
      <c r="D258" s="42"/>
      <c r="E258" s="42">
        <f>B258+C258</f>
        <v>74.9</v>
      </c>
      <c r="F258" s="42"/>
      <c r="G258" s="42"/>
      <c r="H258" s="42">
        <f>E258+F258+G258</f>
        <v>74.9</v>
      </c>
    </row>
    <row r="259" spans="1:8" ht="12.75" customHeight="1">
      <c r="A259" s="6" t="s">
        <v>35</v>
      </c>
      <c r="B259" s="44">
        <f>SUM(B261:B263)</f>
        <v>0</v>
      </c>
      <c r="C259" s="44">
        <f>SUM(C261:C263)</f>
        <v>0</v>
      </c>
      <c r="D259" s="44">
        <f>SUM(D261:D263)</f>
        <v>3000</v>
      </c>
      <c r="E259" s="44">
        <f>B259+C259+D259</f>
        <v>3000</v>
      </c>
      <c r="F259" s="44">
        <f>SUM(F261:F263)</f>
        <v>4861.9</v>
      </c>
      <c r="G259" s="44">
        <f>SUM(G261:G263)</f>
        <v>0</v>
      </c>
      <c r="H259" s="44">
        <f>E259+F259+G259</f>
        <v>7861.9</v>
      </c>
    </row>
    <row r="260" spans="1:8" ht="10.5" customHeight="1">
      <c r="A260" s="3" t="s">
        <v>1</v>
      </c>
      <c r="B260" s="42"/>
      <c r="C260" s="42"/>
      <c r="D260" s="42"/>
      <c r="E260" s="42"/>
      <c r="F260" s="42"/>
      <c r="G260" s="42"/>
      <c r="H260" s="42"/>
    </row>
    <row r="261" spans="1:8" ht="12.75" customHeight="1" hidden="1">
      <c r="A261" s="4" t="s">
        <v>152</v>
      </c>
      <c r="B261" s="42"/>
      <c r="C261" s="42"/>
      <c r="D261" s="42"/>
      <c r="E261" s="42">
        <f>B261+C261</f>
        <v>0</v>
      </c>
      <c r="F261" s="42"/>
      <c r="G261" s="42"/>
      <c r="H261" s="42">
        <f>E261+F261</f>
        <v>0</v>
      </c>
    </row>
    <row r="262" spans="1:8" ht="12.75" customHeight="1">
      <c r="A262" s="4" t="s">
        <v>41</v>
      </c>
      <c r="B262" s="42"/>
      <c r="C262" s="42"/>
      <c r="D262" s="42">
        <v>3000</v>
      </c>
      <c r="E262" s="42">
        <f>B262+C262+D262</f>
        <v>3000</v>
      </c>
      <c r="F262" s="42"/>
      <c r="G262" s="42"/>
      <c r="H262" s="42">
        <f>E262+F262+G262</f>
        <v>3000</v>
      </c>
    </row>
    <row r="263" spans="1:8" ht="12.75" customHeight="1">
      <c r="A263" s="32" t="s">
        <v>203</v>
      </c>
      <c r="B263" s="69"/>
      <c r="C263" s="69"/>
      <c r="D263" s="69"/>
      <c r="E263" s="46">
        <f>B263+C263</f>
        <v>0</v>
      </c>
      <c r="F263" s="69">
        <v>4861.9</v>
      </c>
      <c r="G263" s="69"/>
      <c r="H263" s="46">
        <f>E263+F263</f>
        <v>4861.9</v>
      </c>
    </row>
    <row r="264" spans="1:8" ht="16.5" customHeight="1">
      <c r="A264" s="12" t="s">
        <v>84</v>
      </c>
      <c r="B264" s="39">
        <f aca="true" t="shared" si="30" ref="B264:H264">B265+B271</f>
        <v>84875.5</v>
      </c>
      <c r="C264" s="39">
        <f t="shared" si="30"/>
        <v>350</v>
      </c>
      <c r="D264" s="39">
        <f t="shared" si="30"/>
        <v>38410.7</v>
      </c>
      <c r="E264" s="39">
        <f t="shared" si="30"/>
        <v>123636.2</v>
      </c>
      <c r="F264" s="39">
        <f t="shared" si="30"/>
        <v>12845.8</v>
      </c>
      <c r="G264" s="39">
        <f t="shared" si="30"/>
        <v>0</v>
      </c>
      <c r="H264" s="39">
        <f t="shared" si="30"/>
        <v>136482</v>
      </c>
    </row>
    <row r="265" spans="1:8" ht="12.75" customHeight="1">
      <c r="A265" s="6" t="s">
        <v>34</v>
      </c>
      <c r="B265" s="44">
        <f>SUM(B267:B270)</f>
        <v>2685</v>
      </c>
      <c r="C265" s="44">
        <f>SUM(C267:C270)</f>
        <v>0</v>
      </c>
      <c r="D265" s="44">
        <f>SUM(D267:D270)</f>
        <v>27040.7</v>
      </c>
      <c r="E265" s="44">
        <f>B265+C265+D265</f>
        <v>29725.7</v>
      </c>
      <c r="F265" s="44">
        <f>SUM(F267:F270)</f>
        <v>3145.8</v>
      </c>
      <c r="G265" s="44">
        <f>SUM(G267:G270)</f>
        <v>0</v>
      </c>
      <c r="H265" s="44">
        <f>E265+F265+G265</f>
        <v>32871.5</v>
      </c>
    </row>
    <row r="266" spans="1:8" ht="10.5" customHeight="1">
      <c r="A266" s="3" t="s">
        <v>1</v>
      </c>
      <c r="B266" s="42"/>
      <c r="C266" s="42"/>
      <c r="D266" s="42"/>
      <c r="E266" s="39"/>
      <c r="F266" s="42"/>
      <c r="G266" s="42"/>
      <c r="H266" s="39"/>
    </row>
    <row r="267" spans="1:8" ht="12.75" customHeight="1">
      <c r="A267" s="4" t="s">
        <v>9</v>
      </c>
      <c r="B267" s="42">
        <v>2685</v>
      </c>
      <c r="C267" s="42"/>
      <c r="D267" s="42"/>
      <c r="E267" s="42">
        <f>SUM(B267:D267)</f>
        <v>2685</v>
      </c>
      <c r="F267" s="42">
        <v>-256.6</v>
      </c>
      <c r="G267" s="42"/>
      <c r="H267" s="42">
        <f>SUM(E267:G267)</f>
        <v>2428.4</v>
      </c>
    </row>
    <row r="268" spans="1:8" ht="12.75" customHeight="1">
      <c r="A268" s="4" t="s">
        <v>206</v>
      </c>
      <c r="B268" s="42"/>
      <c r="C268" s="42"/>
      <c r="D268" s="42"/>
      <c r="E268" s="42"/>
      <c r="F268" s="42">
        <v>3.1</v>
      </c>
      <c r="G268" s="42"/>
      <c r="H268" s="42">
        <f>SUM(E268:G268)</f>
        <v>3.1</v>
      </c>
    </row>
    <row r="269" spans="1:8" ht="12.75" customHeight="1">
      <c r="A269" s="4" t="s">
        <v>72</v>
      </c>
      <c r="B269" s="42"/>
      <c r="C269" s="42"/>
      <c r="D269" s="42">
        <v>25000</v>
      </c>
      <c r="E269" s="42">
        <f>SUM(B269:D269)</f>
        <v>25000</v>
      </c>
      <c r="F269" s="42"/>
      <c r="G269" s="42"/>
      <c r="H269" s="42">
        <f>SUM(E269:G269)</f>
        <v>25000</v>
      </c>
    </row>
    <row r="270" spans="1:8" ht="12.75" customHeight="1">
      <c r="A270" s="4" t="s">
        <v>44</v>
      </c>
      <c r="B270" s="42"/>
      <c r="C270" s="42"/>
      <c r="D270" s="42">
        <v>2040.7</v>
      </c>
      <c r="E270" s="42">
        <f>SUM(B270:D270)</f>
        <v>2040.7</v>
      </c>
      <c r="F270" s="42">
        <v>3399.3</v>
      </c>
      <c r="G270" s="42"/>
      <c r="H270" s="42">
        <f>SUM(E270:G270)</f>
        <v>5440</v>
      </c>
    </row>
    <row r="271" spans="1:8" ht="12.75" customHeight="1">
      <c r="A271" s="6" t="s">
        <v>35</v>
      </c>
      <c r="B271" s="44">
        <f>SUM(B273:B277)</f>
        <v>82190.5</v>
      </c>
      <c r="C271" s="44">
        <f>SUM(C273:C277)</f>
        <v>350</v>
      </c>
      <c r="D271" s="44">
        <f>SUM(D273:D277)</f>
        <v>11370</v>
      </c>
      <c r="E271" s="44">
        <f>B271+C271+D271</f>
        <v>93910.5</v>
      </c>
      <c r="F271" s="44">
        <f>SUM(F273:F277)</f>
        <v>9700</v>
      </c>
      <c r="G271" s="44">
        <f>SUM(G273:G277)</f>
        <v>0</v>
      </c>
      <c r="H271" s="44">
        <f>E271+F271+G271</f>
        <v>103610.5</v>
      </c>
    </row>
    <row r="272" spans="1:8" ht="10.5" customHeight="1">
      <c r="A272" s="3" t="s">
        <v>1</v>
      </c>
      <c r="B272" s="42"/>
      <c r="C272" s="42"/>
      <c r="D272" s="42"/>
      <c r="E272" s="42"/>
      <c r="F272" s="42"/>
      <c r="G272" s="42"/>
      <c r="H272" s="42"/>
    </row>
    <row r="273" spans="1:8" ht="12.75" customHeight="1">
      <c r="A273" s="5" t="s">
        <v>157</v>
      </c>
      <c r="B273" s="42"/>
      <c r="C273" s="42">
        <v>350</v>
      </c>
      <c r="D273" s="42"/>
      <c r="E273" s="42">
        <f>B273+C273+D273</f>
        <v>350</v>
      </c>
      <c r="F273" s="42"/>
      <c r="G273" s="42"/>
      <c r="H273" s="42">
        <f>E273+F273+G273</f>
        <v>350</v>
      </c>
    </row>
    <row r="274" spans="1:8" ht="12.75" customHeight="1">
      <c r="A274" s="4" t="s">
        <v>72</v>
      </c>
      <c r="B274" s="42"/>
      <c r="C274" s="42"/>
      <c r="D274" s="42">
        <v>20000</v>
      </c>
      <c r="E274" s="42">
        <f>SUM(B274:D274)</f>
        <v>20000</v>
      </c>
      <c r="F274" s="42"/>
      <c r="G274" s="42"/>
      <c r="H274" s="42">
        <f>SUM(E274:G274)</f>
        <v>20000</v>
      </c>
    </row>
    <row r="275" spans="1:8" ht="12.75" customHeight="1">
      <c r="A275" s="4" t="s">
        <v>44</v>
      </c>
      <c r="B275" s="42"/>
      <c r="C275" s="42"/>
      <c r="D275" s="42"/>
      <c r="E275" s="42"/>
      <c r="F275" s="42">
        <v>9700</v>
      </c>
      <c r="G275" s="42"/>
      <c r="H275" s="42">
        <f>SUM(E275:G275)</f>
        <v>9700</v>
      </c>
    </row>
    <row r="276" spans="1:8" ht="12.75" customHeight="1">
      <c r="A276" s="30" t="s">
        <v>188</v>
      </c>
      <c r="B276" s="40"/>
      <c r="C276" s="40"/>
      <c r="D276" s="40">
        <v>3500</v>
      </c>
      <c r="E276" s="42">
        <f>B276+C276+D276</f>
        <v>3500</v>
      </c>
      <c r="F276" s="40"/>
      <c r="G276" s="40"/>
      <c r="H276" s="42">
        <f>E276+F276+G276</f>
        <v>3500</v>
      </c>
    </row>
    <row r="277" spans="1:8" ht="12.75" customHeight="1">
      <c r="A277" s="37" t="s">
        <v>159</v>
      </c>
      <c r="B277" s="48">
        <v>82190.5</v>
      </c>
      <c r="C277" s="48"/>
      <c r="D277" s="48">
        <v>-12130</v>
      </c>
      <c r="E277" s="46">
        <f>B277+C277+D277</f>
        <v>70060.5</v>
      </c>
      <c r="F277" s="48"/>
      <c r="G277" s="48"/>
      <c r="H277" s="46">
        <f>E277+F277+G277</f>
        <v>70060.5</v>
      </c>
    </row>
    <row r="278" spans="1:8" ht="18.75" customHeight="1">
      <c r="A278" s="2" t="s">
        <v>85</v>
      </c>
      <c r="B278" s="39">
        <f aca="true" t="shared" si="31" ref="B278:H278">B279+B282</f>
        <v>5705</v>
      </c>
      <c r="C278" s="39">
        <f t="shared" si="31"/>
        <v>0</v>
      </c>
      <c r="D278" s="39">
        <f t="shared" si="31"/>
        <v>0</v>
      </c>
      <c r="E278" s="39">
        <f t="shared" si="31"/>
        <v>5705</v>
      </c>
      <c r="F278" s="39">
        <f t="shared" si="31"/>
        <v>0</v>
      </c>
      <c r="G278" s="39">
        <f t="shared" si="31"/>
        <v>0</v>
      </c>
      <c r="H278" s="39">
        <f t="shared" si="31"/>
        <v>5705</v>
      </c>
    </row>
    <row r="279" spans="1:8" ht="12.75" customHeight="1">
      <c r="A279" s="6" t="s">
        <v>34</v>
      </c>
      <c r="B279" s="44">
        <f>SUM(B281:B281)</f>
        <v>4215</v>
      </c>
      <c r="C279" s="44">
        <f>SUM(C281:C281)</f>
        <v>-952</v>
      </c>
      <c r="D279" s="44">
        <f>SUM(D281:D281)</f>
        <v>0</v>
      </c>
      <c r="E279" s="44">
        <f>B279+C279+D279</f>
        <v>3263</v>
      </c>
      <c r="F279" s="44">
        <f>SUM(F281:F281)</f>
        <v>0</v>
      </c>
      <c r="G279" s="44">
        <f>SUM(G281:G281)</f>
        <v>0</v>
      </c>
      <c r="H279" s="44">
        <f>E279+F279+G279</f>
        <v>3263</v>
      </c>
    </row>
    <row r="280" spans="1:8" ht="10.5" customHeight="1">
      <c r="A280" s="3" t="s">
        <v>1</v>
      </c>
      <c r="B280" s="42"/>
      <c r="C280" s="42"/>
      <c r="D280" s="42"/>
      <c r="E280" s="39"/>
      <c r="F280" s="42"/>
      <c r="G280" s="42"/>
      <c r="H280" s="39"/>
    </row>
    <row r="281" spans="1:8" ht="12.75" customHeight="1">
      <c r="A281" s="4" t="s">
        <v>9</v>
      </c>
      <c r="B281" s="42">
        <v>4215</v>
      </c>
      <c r="C281" s="42">
        <v>-952</v>
      </c>
      <c r="D281" s="42"/>
      <c r="E281" s="42">
        <f>B281+C281+D281</f>
        <v>3263</v>
      </c>
      <c r="F281" s="42"/>
      <c r="G281" s="42"/>
      <c r="H281" s="42">
        <f>E281+F281+G281</f>
        <v>3263</v>
      </c>
    </row>
    <row r="282" spans="1:8" ht="12.75" customHeight="1">
      <c r="A282" s="6" t="s">
        <v>35</v>
      </c>
      <c r="B282" s="44">
        <f>SUM(B284:B284)</f>
        <v>1490</v>
      </c>
      <c r="C282" s="44">
        <f>SUM(C284:C284)</f>
        <v>952</v>
      </c>
      <c r="D282" s="44">
        <f>SUM(D284:D284)</f>
        <v>0</v>
      </c>
      <c r="E282" s="44">
        <f>B282+C282+D282</f>
        <v>2442</v>
      </c>
      <c r="F282" s="44">
        <f>SUM(F284:F284)</f>
        <v>0</v>
      </c>
      <c r="G282" s="44">
        <f>SUM(G284:G284)</f>
        <v>0</v>
      </c>
      <c r="H282" s="44">
        <f>E282+F282+G282</f>
        <v>2442</v>
      </c>
    </row>
    <row r="283" spans="1:8" ht="10.5" customHeight="1">
      <c r="A283" s="3" t="s">
        <v>1</v>
      </c>
      <c r="B283" s="42"/>
      <c r="C283" s="42"/>
      <c r="D283" s="42"/>
      <c r="E283" s="42"/>
      <c r="F283" s="42"/>
      <c r="G283" s="42"/>
      <c r="H283" s="42"/>
    </row>
    <row r="284" spans="1:8" ht="12.75" customHeight="1">
      <c r="A284" s="32" t="s">
        <v>41</v>
      </c>
      <c r="B284" s="46">
        <v>1490</v>
      </c>
      <c r="C284" s="46">
        <v>952</v>
      </c>
      <c r="D284" s="46"/>
      <c r="E284" s="46">
        <f>B284+C284+D284</f>
        <v>2442</v>
      </c>
      <c r="F284" s="46"/>
      <c r="G284" s="46"/>
      <c r="H284" s="46">
        <f>E284+F284+G284</f>
        <v>2442</v>
      </c>
    </row>
    <row r="285" spans="1:8" ht="18.75" customHeight="1">
      <c r="A285" s="2" t="s">
        <v>22</v>
      </c>
      <c r="B285" s="39">
        <f aca="true" t="shared" si="32" ref="B285:H285">B286</f>
        <v>59734</v>
      </c>
      <c r="C285" s="39">
        <f t="shared" si="32"/>
        <v>-650</v>
      </c>
      <c r="D285" s="39">
        <f t="shared" si="32"/>
        <v>-470</v>
      </c>
      <c r="E285" s="39">
        <f t="shared" si="32"/>
        <v>58614</v>
      </c>
      <c r="F285" s="39">
        <f t="shared" si="32"/>
        <v>-21723.6</v>
      </c>
      <c r="G285" s="39">
        <f t="shared" si="32"/>
        <v>0</v>
      </c>
      <c r="H285" s="39">
        <f t="shared" si="32"/>
        <v>36890.4</v>
      </c>
    </row>
    <row r="286" spans="1:8" ht="15" customHeight="1">
      <c r="A286" s="6" t="s">
        <v>34</v>
      </c>
      <c r="B286" s="44">
        <f>SUM(B288:B291)</f>
        <v>59734</v>
      </c>
      <c r="C286" s="44">
        <f>SUM(C288:C291)</f>
        <v>-650</v>
      </c>
      <c r="D286" s="44">
        <f>SUM(D288:D291)</f>
        <v>-470</v>
      </c>
      <c r="E286" s="44">
        <f>B286+C286+D286</f>
        <v>58614</v>
      </c>
      <c r="F286" s="44">
        <f>SUM(F288:F291)</f>
        <v>-21723.6</v>
      </c>
      <c r="G286" s="44">
        <f>SUM(G288:G291)</f>
        <v>0</v>
      </c>
      <c r="H286" s="44">
        <f>E286+F286+G286</f>
        <v>36890.4</v>
      </c>
    </row>
    <row r="287" spans="1:8" ht="10.5" customHeight="1">
      <c r="A287" s="3" t="s">
        <v>1</v>
      </c>
      <c r="B287" s="39"/>
      <c r="C287" s="39"/>
      <c r="D287" s="39"/>
      <c r="E287" s="39"/>
      <c r="F287" s="39"/>
      <c r="G287" s="39"/>
      <c r="H287" s="39"/>
    </row>
    <row r="288" spans="1:8" ht="12.75" customHeight="1">
      <c r="A288" s="30" t="s">
        <v>142</v>
      </c>
      <c r="B288" s="42">
        <v>39734</v>
      </c>
      <c r="C288" s="42">
        <v>-650</v>
      </c>
      <c r="D288" s="42">
        <v>-470</v>
      </c>
      <c r="E288" s="42">
        <f>B288+C288+D288</f>
        <v>38614</v>
      </c>
      <c r="F288" s="42">
        <f>-27913.6-10000</f>
        <v>-37913.6</v>
      </c>
      <c r="G288" s="42"/>
      <c r="H288" s="42">
        <f>E288+F288+G288</f>
        <v>700.4000000000015</v>
      </c>
    </row>
    <row r="289" spans="1:8" ht="12.75" customHeight="1">
      <c r="A289" s="30" t="s">
        <v>204</v>
      </c>
      <c r="B289" s="42"/>
      <c r="C289" s="42"/>
      <c r="D289" s="42"/>
      <c r="E289" s="42"/>
      <c r="F289" s="42"/>
      <c r="G289" s="42"/>
      <c r="H289" s="42"/>
    </row>
    <row r="290" spans="1:8" ht="12.75" customHeight="1">
      <c r="A290" s="30" t="s">
        <v>205</v>
      </c>
      <c r="B290" s="42"/>
      <c r="C290" s="42"/>
      <c r="D290" s="42"/>
      <c r="E290" s="42"/>
      <c r="F290" s="42">
        <v>16190</v>
      </c>
      <c r="G290" s="42"/>
      <c r="H290" s="42">
        <f>E290+F290+G290</f>
        <v>16190</v>
      </c>
    </row>
    <row r="291" spans="1:8" ht="12.75" customHeight="1">
      <c r="A291" s="36" t="s">
        <v>9</v>
      </c>
      <c r="B291" s="46">
        <v>20000</v>
      </c>
      <c r="C291" s="46"/>
      <c r="D291" s="46"/>
      <c r="E291" s="46">
        <f>B291+C291+D291</f>
        <v>20000</v>
      </c>
      <c r="F291" s="46"/>
      <c r="G291" s="46"/>
      <c r="H291" s="46">
        <f>E291+F291+G291</f>
        <v>20000</v>
      </c>
    </row>
    <row r="292" spans="1:8" ht="19.5" customHeight="1">
      <c r="A292" s="2" t="s">
        <v>78</v>
      </c>
      <c r="B292" s="39">
        <f>B294+B295</f>
        <v>428487</v>
      </c>
      <c r="C292" s="39">
        <f>C294+C295</f>
        <v>108118.00000000001</v>
      </c>
      <c r="D292" s="39">
        <f>D294+D295</f>
        <v>2000</v>
      </c>
      <c r="E292" s="39">
        <f>B292+C292+D292</f>
        <v>538605</v>
      </c>
      <c r="F292" s="39">
        <f>F294+F295</f>
        <v>39266.799999999996</v>
      </c>
      <c r="G292" s="39">
        <f>G294+G295</f>
        <v>0</v>
      </c>
      <c r="H292" s="39">
        <f>E292+F292+G292</f>
        <v>577871.8</v>
      </c>
    </row>
    <row r="293" spans="1:8" ht="10.5" customHeight="1">
      <c r="A293" s="8" t="s">
        <v>1</v>
      </c>
      <c r="B293" s="39"/>
      <c r="C293" s="39"/>
      <c r="D293" s="39"/>
      <c r="E293" s="39"/>
      <c r="F293" s="39"/>
      <c r="G293" s="39"/>
      <c r="H293" s="39"/>
    </row>
    <row r="294" spans="1:8" ht="12.75" customHeight="1">
      <c r="A294" s="2" t="s">
        <v>34</v>
      </c>
      <c r="B294" s="39">
        <f>B311+B326+B330+B322+B314</f>
        <v>9350</v>
      </c>
      <c r="C294" s="39">
        <f>C311+C326+C330+C322+C314+C321</f>
        <v>16473</v>
      </c>
      <c r="D294" s="39">
        <f>D311+D326+D330+D322+D314</f>
        <v>0</v>
      </c>
      <c r="E294" s="39">
        <f>B294+C294+D294</f>
        <v>25823</v>
      </c>
      <c r="F294" s="39">
        <f>F311+F326+F330+F322+F314+F321</f>
        <v>5023</v>
      </c>
      <c r="G294" s="39">
        <f>G311+G326+G330+G322+G314</f>
        <v>0</v>
      </c>
      <c r="H294" s="39">
        <f>E294+F294+G294</f>
        <v>30846</v>
      </c>
    </row>
    <row r="295" spans="1:8" ht="12.75" customHeight="1">
      <c r="A295" s="2" t="s">
        <v>35</v>
      </c>
      <c r="B295" s="39">
        <f>B297+B300+B305+B309+B310+B312+B317+B324+B328-B294+B333</f>
        <v>419137</v>
      </c>
      <c r="C295" s="39">
        <f>C297+C300+C305+C309+C310+C312+C317+C324+C328-C294+C333+C304</f>
        <v>91645.00000000001</v>
      </c>
      <c r="D295" s="39">
        <f>D297+D300+D305+D309+D310+D312+D317+D324+D328-D294+D333</f>
        <v>2000</v>
      </c>
      <c r="E295" s="39">
        <f>E297+E300+E305+E309+E310+E312+E317+E324+E328-E294+E333+E304</f>
        <v>512782</v>
      </c>
      <c r="F295" s="39">
        <f>F297+F300+F305+F309+F310+F312+F317+F324+F328-F294+F333+F304</f>
        <v>34243.799999999996</v>
      </c>
      <c r="G295" s="39">
        <f>G297+G300+G305+G309+G310+G312+G317+G324+G328-G294+G333</f>
        <v>0</v>
      </c>
      <c r="H295" s="39">
        <f>H297+H300+H305+H309+H310+H312+H317+H324+H328-H294+H333+H304</f>
        <v>547025.8</v>
      </c>
    </row>
    <row r="296" spans="1:8" ht="12.75" customHeight="1">
      <c r="A296" s="10" t="s">
        <v>46</v>
      </c>
      <c r="B296" s="39"/>
      <c r="C296" s="39"/>
      <c r="D296" s="39"/>
      <c r="E296" s="39"/>
      <c r="F296" s="39"/>
      <c r="G296" s="39"/>
      <c r="H296" s="39"/>
    </row>
    <row r="297" spans="1:8" ht="12.75" customHeight="1">
      <c r="A297" s="8" t="s">
        <v>143</v>
      </c>
      <c r="B297" s="40">
        <f>B298+B299</f>
        <v>2187</v>
      </c>
      <c r="C297" s="40">
        <f>C298+C299</f>
        <v>209.20000000000005</v>
      </c>
      <c r="D297" s="39"/>
      <c r="E297" s="42">
        <f>B297+C297</f>
        <v>2396.2</v>
      </c>
      <c r="F297" s="40">
        <f>F298+F299</f>
        <v>0</v>
      </c>
      <c r="G297" s="39"/>
      <c r="H297" s="42">
        <f>E297+F297</f>
        <v>2396.2</v>
      </c>
    </row>
    <row r="298" spans="1:8" ht="12.75" customHeight="1">
      <c r="A298" s="8" t="s">
        <v>101</v>
      </c>
      <c r="B298" s="40">
        <v>2150</v>
      </c>
      <c r="C298" s="40">
        <f>-530+739.2</f>
        <v>209.20000000000005</v>
      </c>
      <c r="D298" s="39"/>
      <c r="E298" s="42">
        <f>SUM(B298:D298)</f>
        <v>2359.2</v>
      </c>
      <c r="F298" s="40"/>
      <c r="G298" s="39"/>
      <c r="H298" s="42">
        <f>SUM(E298:G298)</f>
        <v>2359.2</v>
      </c>
    </row>
    <row r="299" spans="1:8" ht="12.75" customHeight="1">
      <c r="A299" s="8" t="s">
        <v>98</v>
      </c>
      <c r="B299" s="40">
        <v>37</v>
      </c>
      <c r="C299" s="39"/>
      <c r="D299" s="39"/>
      <c r="E299" s="42">
        <f>SUM(B299:D299)</f>
        <v>37</v>
      </c>
      <c r="F299" s="39"/>
      <c r="G299" s="39"/>
      <c r="H299" s="42">
        <f>SUM(E299:G299)</f>
        <v>37</v>
      </c>
    </row>
    <row r="300" spans="1:8" ht="12.75" customHeight="1">
      <c r="A300" s="8" t="s">
        <v>102</v>
      </c>
      <c r="B300" s="40">
        <f>B301+B302</f>
        <v>20000</v>
      </c>
      <c r="C300" s="40">
        <f>C301+C302+C303</f>
        <v>212</v>
      </c>
      <c r="D300" s="39"/>
      <c r="E300" s="42">
        <f>B300+C300</f>
        <v>20212</v>
      </c>
      <c r="F300" s="40">
        <f>F301+F302+F303</f>
        <v>0</v>
      </c>
      <c r="G300" s="39"/>
      <c r="H300" s="42">
        <f>E300+F300</f>
        <v>20212</v>
      </c>
    </row>
    <row r="301" spans="1:8" ht="12.75" customHeight="1">
      <c r="A301" s="8" t="s">
        <v>101</v>
      </c>
      <c r="B301" s="40">
        <v>10000</v>
      </c>
      <c r="C301" s="40"/>
      <c r="D301" s="39"/>
      <c r="E301" s="42">
        <f>SUM(B301:D301)</f>
        <v>10000</v>
      </c>
      <c r="F301" s="40">
        <v>212</v>
      </c>
      <c r="G301" s="39"/>
      <c r="H301" s="42">
        <f>SUM(E301:G301)</f>
        <v>10212</v>
      </c>
    </row>
    <row r="302" spans="1:8" ht="12.75" customHeight="1">
      <c r="A302" s="8" t="s">
        <v>217</v>
      </c>
      <c r="B302" s="40">
        <v>10000</v>
      </c>
      <c r="C302" s="40"/>
      <c r="D302" s="39"/>
      <c r="E302" s="42">
        <f>SUM(B302:D302)</f>
        <v>10000</v>
      </c>
      <c r="F302" s="40"/>
      <c r="G302" s="39"/>
      <c r="H302" s="42">
        <f>SUM(E302:G302)</f>
        <v>10000</v>
      </c>
    </row>
    <row r="303" spans="1:8" ht="12.75" customHeight="1">
      <c r="A303" s="67" t="s">
        <v>98</v>
      </c>
      <c r="B303" s="48"/>
      <c r="C303" s="48">
        <v>212</v>
      </c>
      <c r="D303" s="70"/>
      <c r="E303" s="46">
        <f>SUM(B303:D303)</f>
        <v>212</v>
      </c>
      <c r="F303" s="48">
        <v>-212</v>
      </c>
      <c r="G303" s="70"/>
      <c r="H303" s="46">
        <f>SUM(E303:G303)</f>
        <v>0</v>
      </c>
    </row>
    <row r="304" spans="1:8" ht="12.75" customHeight="1">
      <c r="A304" s="8" t="s">
        <v>183</v>
      </c>
      <c r="B304" s="40"/>
      <c r="C304" s="40">
        <v>1750</v>
      </c>
      <c r="D304" s="39"/>
      <c r="E304" s="42">
        <v>1750</v>
      </c>
      <c r="F304" s="40"/>
      <c r="G304" s="39"/>
      <c r="H304" s="42">
        <f>SUM(E304:G304)</f>
        <v>1750</v>
      </c>
    </row>
    <row r="305" spans="1:8" ht="12.75" customHeight="1">
      <c r="A305" s="8" t="s">
        <v>47</v>
      </c>
      <c r="B305" s="40">
        <f>SUM(B306:B307)</f>
        <v>100000</v>
      </c>
      <c r="C305" s="40">
        <f>SUM(C306:C307)</f>
        <v>1137.7999999999993</v>
      </c>
      <c r="D305" s="40">
        <f>SUM(D306:D306)</f>
        <v>0</v>
      </c>
      <c r="E305" s="42">
        <f>B305+C305+D305</f>
        <v>101137.8</v>
      </c>
      <c r="F305" s="40">
        <f>SUM(F306:F308)</f>
        <v>20232.799999999996</v>
      </c>
      <c r="G305" s="40"/>
      <c r="H305" s="42">
        <f>E305+F305+G305</f>
        <v>121370.6</v>
      </c>
    </row>
    <row r="306" spans="1:8" ht="12.75" customHeight="1">
      <c r="A306" s="8" t="s">
        <v>160</v>
      </c>
      <c r="B306" s="40">
        <v>100000</v>
      </c>
      <c r="C306" s="40">
        <f>1137.8-29394.8</f>
        <v>-28257</v>
      </c>
      <c r="D306" s="40"/>
      <c r="E306" s="42">
        <f>B306+C306+D306</f>
        <v>71743</v>
      </c>
      <c r="F306" s="40">
        <f>-3000-45093</f>
        <v>-48093</v>
      </c>
      <c r="G306" s="40"/>
      <c r="H306" s="42">
        <f>SUM(E306:G306)</f>
        <v>23650</v>
      </c>
    </row>
    <row r="307" spans="1:8" ht="12.75" customHeight="1">
      <c r="A307" s="8" t="s">
        <v>207</v>
      </c>
      <c r="B307" s="40"/>
      <c r="C307" s="40">
        <v>29394.8</v>
      </c>
      <c r="D307" s="40"/>
      <c r="E307" s="42">
        <f>B307+C307+D307</f>
        <v>29394.8</v>
      </c>
      <c r="F307" s="40">
        <f>15435.7+45093</f>
        <v>60528.7</v>
      </c>
      <c r="G307" s="40"/>
      <c r="H307" s="42">
        <f>SUM(E307:G307)</f>
        <v>89923.5</v>
      </c>
    </row>
    <row r="308" spans="1:8" ht="12.75" customHeight="1">
      <c r="A308" s="8" t="s">
        <v>98</v>
      </c>
      <c r="B308" s="40"/>
      <c r="C308" s="40"/>
      <c r="D308" s="40"/>
      <c r="E308" s="42"/>
      <c r="F308" s="40">
        <v>7797.1</v>
      </c>
      <c r="G308" s="40"/>
      <c r="H308" s="42">
        <f>SUM(E308:G308)</f>
        <v>7797.1</v>
      </c>
    </row>
    <row r="309" spans="1:8" ht="12.75" customHeight="1">
      <c r="A309" s="8" t="s">
        <v>73</v>
      </c>
      <c r="B309" s="40">
        <v>300</v>
      </c>
      <c r="C309" s="40"/>
      <c r="D309" s="40"/>
      <c r="E309" s="42">
        <f>B309+C309</f>
        <v>300</v>
      </c>
      <c r="F309" s="40"/>
      <c r="G309" s="40"/>
      <c r="H309" s="42">
        <f>SUM(E309:G309)</f>
        <v>300</v>
      </c>
    </row>
    <row r="310" spans="1:8" ht="12.75" customHeight="1">
      <c r="A310" s="8" t="s">
        <v>100</v>
      </c>
      <c r="B310" s="40">
        <f>B311</f>
        <v>0</v>
      </c>
      <c r="C310" s="40">
        <f>C311</f>
        <v>741.6</v>
      </c>
      <c r="D310" s="40"/>
      <c r="E310" s="42">
        <f>B310+C310+D310</f>
        <v>741.6</v>
      </c>
      <c r="F310" s="40">
        <f>F311</f>
        <v>0</v>
      </c>
      <c r="G310" s="40"/>
      <c r="H310" s="42">
        <f>E310+F310+G310</f>
        <v>741.6</v>
      </c>
    </row>
    <row r="311" spans="1:8" ht="12.75" customHeight="1">
      <c r="A311" s="8" t="s">
        <v>99</v>
      </c>
      <c r="B311" s="40"/>
      <c r="C311" s="40">
        <v>741.6</v>
      </c>
      <c r="D311" s="40"/>
      <c r="E311" s="42">
        <f>B311+C311</f>
        <v>741.6</v>
      </c>
      <c r="F311" s="40"/>
      <c r="G311" s="40"/>
      <c r="H311" s="42">
        <f>SUM(E311:G311)</f>
        <v>741.6</v>
      </c>
    </row>
    <row r="312" spans="1:8" ht="12.75" customHeight="1">
      <c r="A312" s="8" t="s">
        <v>48</v>
      </c>
      <c r="B312" s="40">
        <f>SUM(B313:B316)</f>
        <v>48000</v>
      </c>
      <c r="C312" s="40">
        <f>SUM(C313:C316)</f>
        <v>7405.4</v>
      </c>
      <c r="D312" s="40">
        <f>SUM(D313:D316)</f>
        <v>2000</v>
      </c>
      <c r="E312" s="42">
        <f aca="true" t="shared" si="33" ref="E312:E324">B312+C312+D312</f>
        <v>57405.4</v>
      </c>
      <c r="F312" s="40">
        <f>SUM(F313:F316)</f>
        <v>6000</v>
      </c>
      <c r="G312" s="40"/>
      <c r="H312" s="42">
        <f aca="true" t="shared" si="34" ref="H312:H333">SUM(E312:G312)</f>
        <v>63405.4</v>
      </c>
    </row>
    <row r="313" spans="1:8" ht="12.75" customHeight="1">
      <c r="A313" s="8" t="s">
        <v>161</v>
      </c>
      <c r="B313" s="40">
        <v>48000</v>
      </c>
      <c r="C313" s="40">
        <f>-500+650+5223.7+110.5</f>
        <v>5484.2</v>
      </c>
      <c r="D313" s="40"/>
      <c r="E313" s="42">
        <f t="shared" si="33"/>
        <v>53484.2</v>
      </c>
      <c r="F313" s="40">
        <f>6000+1036</f>
        <v>7036</v>
      </c>
      <c r="G313" s="40"/>
      <c r="H313" s="42">
        <f t="shared" si="34"/>
        <v>60520.2</v>
      </c>
    </row>
    <row r="314" spans="1:8" ht="12.75" customHeight="1">
      <c r="A314" s="8" t="s">
        <v>213</v>
      </c>
      <c r="B314" s="40"/>
      <c r="C314" s="40">
        <f>994+195</f>
        <v>1189</v>
      </c>
      <c r="D314" s="40"/>
      <c r="E314" s="42">
        <f t="shared" si="33"/>
        <v>1189</v>
      </c>
      <c r="F314" s="40">
        <v>1060</v>
      </c>
      <c r="G314" s="40"/>
      <c r="H314" s="42">
        <f t="shared" si="34"/>
        <v>2249</v>
      </c>
    </row>
    <row r="315" spans="1:8" ht="12.75" customHeight="1">
      <c r="A315" s="8" t="s">
        <v>75</v>
      </c>
      <c r="B315" s="40"/>
      <c r="C315" s="40">
        <v>500</v>
      </c>
      <c r="D315" s="40"/>
      <c r="E315" s="42">
        <f t="shared" si="33"/>
        <v>500</v>
      </c>
      <c r="F315" s="40"/>
      <c r="G315" s="40"/>
      <c r="H315" s="42">
        <f t="shared" si="34"/>
        <v>500</v>
      </c>
    </row>
    <row r="316" spans="1:8" ht="12.75" customHeight="1">
      <c r="A316" s="8" t="s">
        <v>94</v>
      </c>
      <c r="B316" s="40"/>
      <c r="C316" s="40">
        <f>74.2+158</f>
        <v>232.2</v>
      </c>
      <c r="D316" s="40">
        <v>2000</v>
      </c>
      <c r="E316" s="42">
        <f t="shared" si="33"/>
        <v>2232.2</v>
      </c>
      <c r="F316" s="40">
        <v>-2096</v>
      </c>
      <c r="G316" s="40"/>
      <c r="H316" s="42">
        <f t="shared" si="34"/>
        <v>136.19999999999982</v>
      </c>
    </row>
    <row r="317" spans="1:8" ht="12.75" customHeight="1">
      <c r="A317" s="8" t="s">
        <v>49</v>
      </c>
      <c r="B317" s="40">
        <f>SUM(B318:B323)</f>
        <v>150000</v>
      </c>
      <c r="C317" s="40">
        <f>SUM(C318:C323)</f>
        <v>58071.40000000001</v>
      </c>
      <c r="D317" s="40">
        <f>SUM(D318:D323)</f>
        <v>0</v>
      </c>
      <c r="E317" s="42">
        <f t="shared" si="33"/>
        <v>208071.40000000002</v>
      </c>
      <c r="F317" s="40">
        <f>SUM(F318:F323)</f>
        <v>13034</v>
      </c>
      <c r="G317" s="40"/>
      <c r="H317" s="42">
        <f t="shared" si="34"/>
        <v>221105.40000000002</v>
      </c>
    </row>
    <row r="318" spans="1:8" ht="12.75" customHeight="1">
      <c r="A318" s="8" t="s">
        <v>95</v>
      </c>
      <c r="B318" s="40">
        <v>120000</v>
      </c>
      <c r="C318" s="40">
        <f>4892+3712.7-4892+26465.2+20214.2+5000</f>
        <v>55392.100000000006</v>
      </c>
      <c r="D318" s="40"/>
      <c r="E318" s="42">
        <f t="shared" si="33"/>
        <v>175392.1</v>
      </c>
      <c r="F318" s="40">
        <f>915.5+8442.7</f>
        <v>9358.2</v>
      </c>
      <c r="G318" s="40"/>
      <c r="H318" s="42">
        <f t="shared" si="34"/>
        <v>184750.30000000002</v>
      </c>
    </row>
    <row r="319" spans="1:8" ht="12.75" customHeight="1">
      <c r="A319" s="8" t="s">
        <v>162</v>
      </c>
      <c r="B319" s="40">
        <v>30000</v>
      </c>
      <c r="C319" s="40">
        <v>-5000</v>
      </c>
      <c r="D319" s="40"/>
      <c r="E319" s="42">
        <f t="shared" si="33"/>
        <v>25000</v>
      </c>
      <c r="F319" s="40">
        <v>490</v>
      </c>
      <c r="G319" s="40"/>
      <c r="H319" s="42">
        <f t="shared" si="34"/>
        <v>25490</v>
      </c>
    </row>
    <row r="320" spans="1:8" ht="12.75" customHeight="1">
      <c r="A320" s="8" t="s">
        <v>163</v>
      </c>
      <c r="B320" s="40"/>
      <c r="C320" s="40"/>
      <c r="D320" s="40"/>
      <c r="E320" s="42">
        <f t="shared" si="33"/>
        <v>0</v>
      </c>
      <c r="F320" s="40">
        <f>5530.8+61</f>
        <v>5591.8</v>
      </c>
      <c r="G320" s="40"/>
      <c r="H320" s="42">
        <f t="shared" si="34"/>
        <v>5591.8</v>
      </c>
    </row>
    <row r="321" spans="1:8" ht="12.75" customHeight="1">
      <c r="A321" s="8" t="s">
        <v>208</v>
      </c>
      <c r="B321" s="40"/>
      <c r="C321" s="40"/>
      <c r="D321" s="40"/>
      <c r="E321" s="42">
        <f t="shared" si="33"/>
        <v>0</v>
      </c>
      <c r="F321" s="40">
        <v>800</v>
      </c>
      <c r="G321" s="40"/>
      <c r="H321" s="42">
        <f t="shared" si="34"/>
        <v>800</v>
      </c>
    </row>
    <row r="322" spans="1:8" ht="12.75" customHeight="1">
      <c r="A322" s="8" t="s">
        <v>86</v>
      </c>
      <c r="B322" s="40"/>
      <c r="C322" s="40">
        <f>1179.3</f>
        <v>1179.3</v>
      </c>
      <c r="D322" s="40"/>
      <c r="E322" s="42">
        <f t="shared" si="33"/>
        <v>1179.3</v>
      </c>
      <c r="F322" s="40">
        <f>3163</f>
        <v>3163</v>
      </c>
      <c r="G322" s="40"/>
      <c r="H322" s="42">
        <f t="shared" si="34"/>
        <v>4342.3</v>
      </c>
    </row>
    <row r="323" spans="1:8" ht="12.75" customHeight="1">
      <c r="A323" s="8" t="s">
        <v>94</v>
      </c>
      <c r="B323" s="40"/>
      <c r="C323" s="40">
        <f>6500</f>
        <v>6500</v>
      </c>
      <c r="D323" s="40"/>
      <c r="E323" s="42">
        <f t="shared" si="33"/>
        <v>6500</v>
      </c>
      <c r="F323" s="40">
        <f>9919-6446.3+3115-12956.7</f>
        <v>-6369.000000000001</v>
      </c>
      <c r="G323" s="40"/>
      <c r="H323" s="42">
        <f t="shared" si="34"/>
        <v>130.9999999999991</v>
      </c>
    </row>
    <row r="324" spans="1:8" ht="12.75" customHeight="1">
      <c r="A324" s="8" t="s">
        <v>42</v>
      </c>
      <c r="B324" s="40">
        <f>SUM(B325:B326)</f>
        <v>10000</v>
      </c>
      <c r="C324" s="40">
        <f>SUM(C325:C327)</f>
        <v>230.3</v>
      </c>
      <c r="D324" s="40"/>
      <c r="E324" s="42">
        <f t="shared" si="33"/>
        <v>10230.3</v>
      </c>
      <c r="F324" s="40">
        <f>SUM(F325:F327)</f>
        <v>0</v>
      </c>
      <c r="G324" s="40"/>
      <c r="H324" s="42">
        <f t="shared" si="34"/>
        <v>10230.3</v>
      </c>
    </row>
    <row r="325" spans="1:8" ht="12.75" customHeight="1">
      <c r="A325" s="8" t="s">
        <v>161</v>
      </c>
      <c r="B325" s="40">
        <v>10000</v>
      </c>
      <c r="C325" s="40"/>
      <c r="D325" s="40"/>
      <c r="E325" s="42">
        <f>B325+C325</f>
        <v>10000</v>
      </c>
      <c r="F325" s="40">
        <v>-15</v>
      </c>
      <c r="G325" s="40"/>
      <c r="H325" s="42">
        <f t="shared" si="34"/>
        <v>9985</v>
      </c>
    </row>
    <row r="326" spans="1:8" ht="12.75" customHeight="1" hidden="1">
      <c r="A326" s="8" t="s">
        <v>164</v>
      </c>
      <c r="B326" s="40"/>
      <c r="C326" s="40"/>
      <c r="D326" s="40"/>
      <c r="E326" s="42">
        <f>B326+C326</f>
        <v>0</v>
      </c>
      <c r="F326" s="40"/>
      <c r="G326" s="40"/>
      <c r="H326" s="42">
        <f t="shared" si="34"/>
        <v>0</v>
      </c>
    </row>
    <row r="327" spans="1:8" ht="12.75" customHeight="1">
      <c r="A327" s="8" t="s">
        <v>94</v>
      </c>
      <c r="B327" s="40"/>
      <c r="C327" s="40">
        <v>230.3</v>
      </c>
      <c r="D327" s="40"/>
      <c r="E327" s="42">
        <f>B327+C327+D327</f>
        <v>230.3</v>
      </c>
      <c r="F327" s="40">
        <v>15</v>
      </c>
      <c r="G327" s="40"/>
      <c r="H327" s="42">
        <f t="shared" si="34"/>
        <v>245.3</v>
      </c>
    </row>
    <row r="328" spans="1:8" ht="12.75" customHeight="1">
      <c r="A328" s="8" t="s">
        <v>40</v>
      </c>
      <c r="B328" s="40">
        <f>SUM(B329:B332)</f>
        <v>98000</v>
      </c>
      <c r="C328" s="40">
        <f>SUM(C329:C332)</f>
        <v>37873.8</v>
      </c>
      <c r="D328" s="40">
        <f>SUM(D329:D332)</f>
        <v>0</v>
      </c>
      <c r="E328" s="42">
        <f>B328+C328+D328</f>
        <v>135873.8</v>
      </c>
      <c r="F328" s="40">
        <f>SUM(F329:F332)</f>
        <v>0</v>
      </c>
      <c r="G328" s="40"/>
      <c r="H328" s="42">
        <f t="shared" si="34"/>
        <v>135873.8</v>
      </c>
    </row>
    <row r="329" spans="1:8" ht="12.75" customHeight="1">
      <c r="A329" s="8" t="s">
        <v>161</v>
      </c>
      <c r="B329" s="40">
        <v>84510</v>
      </c>
      <c r="C329" s="40">
        <f>24666.4-5000</f>
        <v>19666.4</v>
      </c>
      <c r="D329" s="40"/>
      <c r="E329" s="42">
        <f>B329+C329+D329</f>
        <v>104176.4</v>
      </c>
      <c r="F329" s="40"/>
      <c r="G329" s="40"/>
      <c r="H329" s="42">
        <f t="shared" si="34"/>
        <v>104176.4</v>
      </c>
    </row>
    <row r="330" spans="1:8" ht="12.75" customHeight="1">
      <c r="A330" s="8" t="s">
        <v>213</v>
      </c>
      <c r="B330" s="40">
        <v>9350</v>
      </c>
      <c r="C330" s="40">
        <v>13363.1</v>
      </c>
      <c r="D330" s="40"/>
      <c r="E330" s="42">
        <f>B330+C330+D330</f>
        <v>22713.1</v>
      </c>
      <c r="F330" s="40"/>
      <c r="G330" s="40"/>
      <c r="H330" s="42">
        <f t="shared" si="34"/>
        <v>22713.1</v>
      </c>
    </row>
    <row r="331" spans="1:8" ht="12.75" customHeight="1">
      <c r="A331" s="8" t="s">
        <v>76</v>
      </c>
      <c r="B331" s="40"/>
      <c r="C331" s="40">
        <v>5000</v>
      </c>
      <c r="D331" s="40"/>
      <c r="E331" s="42">
        <f>B331+C331</f>
        <v>5000</v>
      </c>
      <c r="F331" s="40"/>
      <c r="G331" s="40"/>
      <c r="H331" s="42">
        <f t="shared" si="34"/>
        <v>5000</v>
      </c>
    </row>
    <row r="332" spans="1:8" ht="12.75" customHeight="1">
      <c r="A332" s="8" t="s">
        <v>94</v>
      </c>
      <c r="B332" s="40">
        <v>4140</v>
      </c>
      <c r="C332" s="40">
        <f>-364.2+208.5</f>
        <v>-155.7</v>
      </c>
      <c r="D332" s="40"/>
      <c r="E332" s="42">
        <f>B332+C332+D332</f>
        <v>3984.3</v>
      </c>
      <c r="F332" s="40"/>
      <c r="G332" s="40"/>
      <c r="H332" s="42">
        <f t="shared" si="34"/>
        <v>3984.3</v>
      </c>
    </row>
    <row r="333" spans="1:8" ht="12.75" customHeight="1">
      <c r="A333" s="67" t="s">
        <v>103</v>
      </c>
      <c r="B333" s="48"/>
      <c r="C333" s="48">
        <v>486.5</v>
      </c>
      <c r="D333" s="48"/>
      <c r="E333" s="46">
        <f>SUM(B333:D333)</f>
        <v>486.5</v>
      </c>
      <c r="F333" s="48"/>
      <c r="G333" s="48"/>
      <c r="H333" s="46">
        <f t="shared" si="34"/>
        <v>486.5</v>
      </c>
    </row>
    <row r="334" spans="1:8" ht="18" customHeight="1" thickBot="1">
      <c r="A334" s="38" t="s">
        <v>169</v>
      </c>
      <c r="B334" s="41">
        <v>4152</v>
      </c>
      <c r="C334" s="41">
        <v>400</v>
      </c>
      <c r="D334" s="41"/>
      <c r="E334" s="41">
        <f>SUM(B334:D334)</f>
        <v>4552</v>
      </c>
      <c r="F334" s="41"/>
      <c r="G334" s="41"/>
      <c r="H334" s="41">
        <f>SUM(E334:G334)</f>
        <v>4552</v>
      </c>
    </row>
    <row r="335" spans="1:8" ht="21.75" customHeight="1" thickBot="1">
      <c r="A335" s="34" t="s">
        <v>23</v>
      </c>
      <c r="B335" s="50">
        <f>B63+B76+B87+B112+B133+B190+B216+B232+B245+B249+B278+B285+B292+B147+B137+B264+B102+B334</f>
        <v>3472357.6</v>
      </c>
      <c r="C335" s="50">
        <f>C63+C76+C87+C112+C133+C190+C216+C232+C245+C249+C278+C285+C292+C147+C137+C264+C102+C334</f>
        <v>1270956.7</v>
      </c>
      <c r="D335" s="50">
        <f>D63+D76+D87+D112+D133+D190+D216+D232+D245+D249+D278+D285+D292+D147+D137+D264+D102</f>
        <v>-49637.200000000026</v>
      </c>
      <c r="E335" s="51">
        <f>E63+E76+E87+E112+E133+E190+E216+E232+E245+E249+E278+E285+E292+E147+E137+E264+E102+E334</f>
        <v>4693677.1</v>
      </c>
      <c r="F335" s="50">
        <f>F63+F76+F87+F112+F133+F190+F216+F232+F245+F249+F278+F285+F292+F147+F137+F264+F102+F334</f>
        <v>1152294.8000000003</v>
      </c>
      <c r="G335" s="50">
        <f>G63+G76+G87+G112+G133+G190+G216+G232+G245+G249+G278+G285+G292+G147+G137+G264+G102</f>
        <v>0</v>
      </c>
      <c r="H335" s="51">
        <f>H63+H76+H87+H112+H133+H190+H216+H232+H245+H249+H278+H285+H292+H147+H137+H264+H102+H334</f>
        <v>5845971.899999999</v>
      </c>
    </row>
    <row r="336" spans="1:8" ht="15" customHeight="1" thickBot="1">
      <c r="A336" s="33" t="s">
        <v>166</v>
      </c>
      <c r="B336" s="52">
        <v>-4152</v>
      </c>
      <c r="C336" s="52"/>
      <c r="D336" s="52"/>
      <c r="E336" s="53">
        <f>SUM(B336:D336)</f>
        <v>-4152</v>
      </c>
      <c r="F336" s="52"/>
      <c r="G336" s="52"/>
      <c r="H336" s="53">
        <f>SUM(E336:G336)</f>
        <v>-4152</v>
      </c>
    </row>
    <row r="337" spans="1:8" ht="21.75" customHeight="1" thickBot="1">
      <c r="A337" s="25" t="s">
        <v>167</v>
      </c>
      <c r="B337" s="54">
        <f aca="true" t="shared" si="35" ref="B337:H337">B335+B336</f>
        <v>3468205.6</v>
      </c>
      <c r="C337" s="54">
        <f t="shared" si="35"/>
        <v>1270956.7</v>
      </c>
      <c r="D337" s="54">
        <f t="shared" si="35"/>
        <v>-49637.200000000026</v>
      </c>
      <c r="E337" s="55">
        <f t="shared" si="35"/>
        <v>4689525.1</v>
      </c>
      <c r="F337" s="54">
        <f t="shared" si="35"/>
        <v>1152294.8000000003</v>
      </c>
      <c r="G337" s="54">
        <f t="shared" si="35"/>
        <v>0</v>
      </c>
      <c r="H337" s="55">
        <f t="shared" si="35"/>
        <v>5841819.899999999</v>
      </c>
    </row>
    <row r="338" spans="1:8" ht="12" customHeight="1">
      <c r="A338" s="29" t="s">
        <v>1</v>
      </c>
      <c r="B338" s="56"/>
      <c r="C338" s="56"/>
      <c r="D338" s="56"/>
      <c r="E338" s="57"/>
      <c r="F338" s="56"/>
      <c r="G338" s="56"/>
      <c r="H338" s="57"/>
    </row>
    <row r="339" spans="1:8" ht="15" customHeight="1">
      <c r="A339" s="28" t="s">
        <v>34</v>
      </c>
      <c r="B339" s="58">
        <f>B64+B77+B88+B113+B134+B148+B191+B217+B233+B245+B250+B279+B286+B294+B138+B265+B103+B334+B336</f>
        <v>2420273</v>
      </c>
      <c r="C339" s="58">
        <f>C64+C77+C88+C113+C134+C148+C191+C217+C233+C245+C250+C279+C286+C294+C138+C265+C103+C334+C336</f>
        <v>1169166.5</v>
      </c>
      <c r="D339" s="58">
        <f>D64+D77+D88+D113+D134+D148+D191+D217+D233+D245+D250+D279+D286+D294+D138+D265+D103</f>
        <v>39349.4</v>
      </c>
      <c r="E339" s="59">
        <f>E64+E77+E88+E113+E134+E148+E191+E217+E233+E245+E250+E279+E286+E294+E138+E265+E103+E334+E336</f>
        <v>3628788.9</v>
      </c>
      <c r="F339" s="58">
        <f>F64+F77+F88+F113+F134+F148+F191+F217+F233+F245+F250+F279+F286+F294+F138+F265+F103+F334+F336</f>
        <v>1080905</v>
      </c>
      <c r="G339" s="58">
        <f>G64+G77+G88+G113+G134+G148+G191+G217+G233+G245+G250+G279+G286+G294+G138+G265+G103</f>
        <v>0</v>
      </c>
      <c r="H339" s="59">
        <f>H64+H77+H88+H113+H134+H148+H191+H217+H233+H245+H250+H279+H286+H294+H138+H265+H103+H334+H336</f>
        <v>4709693.9</v>
      </c>
    </row>
    <row r="340" spans="1:8" ht="15" customHeight="1" thickBot="1">
      <c r="A340" s="28" t="s">
        <v>35</v>
      </c>
      <c r="B340" s="58">
        <f aca="true" t="shared" si="36" ref="B340:H340">B96+B124+B177+B211+B226+B282+B295+B143+B259+B72+B271+B242+B109</f>
        <v>1047932.6</v>
      </c>
      <c r="C340" s="58">
        <f t="shared" si="36"/>
        <v>101790.20000000001</v>
      </c>
      <c r="D340" s="58">
        <f t="shared" si="36"/>
        <v>-88986.6</v>
      </c>
      <c r="E340" s="59">
        <f t="shared" si="36"/>
        <v>1060736.2</v>
      </c>
      <c r="F340" s="58">
        <f t="shared" si="36"/>
        <v>71389.79999999999</v>
      </c>
      <c r="G340" s="58">
        <f t="shared" si="36"/>
        <v>0</v>
      </c>
      <c r="H340" s="59">
        <f t="shared" si="36"/>
        <v>1132126</v>
      </c>
    </row>
    <row r="341" spans="1:8" ht="19.5" customHeight="1">
      <c r="A341" s="29" t="s">
        <v>51</v>
      </c>
      <c r="B341" s="60">
        <f aca="true" t="shared" si="37" ref="B341:H341">SUM(B343:B346)</f>
        <v>556305.6</v>
      </c>
      <c r="C341" s="60">
        <f t="shared" si="37"/>
        <v>156441.6</v>
      </c>
      <c r="D341" s="60">
        <f t="shared" si="37"/>
        <v>-52462.59999999999</v>
      </c>
      <c r="E341" s="61">
        <f t="shared" si="37"/>
        <v>660284.5999999999</v>
      </c>
      <c r="F341" s="60">
        <f t="shared" si="37"/>
        <v>-58223.3</v>
      </c>
      <c r="G341" s="60">
        <f t="shared" si="37"/>
        <v>0</v>
      </c>
      <c r="H341" s="61">
        <f t="shared" si="37"/>
        <v>602061.2999999999</v>
      </c>
    </row>
    <row r="342" spans="1:8" ht="9.75" customHeight="1">
      <c r="A342" s="26" t="s">
        <v>1</v>
      </c>
      <c r="B342" s="62"/>
      <c r="C342" s="62"/>
      <c r="D342" s="62"/>
      <c r="E342" s="63"/>
      <c r="F342" s="62"/>
      <c r="G342" s="62"/>
      <c r="H342" s="63"/>
    </row>
    <row r="343" spans="1:8" ht="12.75" customHeight="1">
      <c r="A343" s="26" t="s">
        <v>74</v>
      </c>
      <c r="B343" s="64">
        <v>556305.6</v>
      </c>
      <c r="C343" s="64">
        <v>26465.2</v>
      </c>
      <c r="D343" s="64">
        <v>-111482.4</v>
      </c>
      <c r="E343" s="63">
        <f>SUM(B343:D343)</f>
        <v>471288.3999999999</v>
      </c>
      <c r="F343" s="64"/>
      <c r="G343" s="64"/>
      <c r="H343" s="63">
        <f>SUM(E343:G343)</f>
        <v>471288.3999999999</v>
      </c>
    </row>
    <row r="344" spans="1:8" ht="12.75" customHeight="1">
      <c r="A344" s="26" t="s">
        <v>200</v>
      </c>
      <c r="B344" s="64"/>
      <c r="C344" s="64"/>
      <c r="D344" s="64"/>
      <c r="E344" s="63"/>
      <c r="F344" s="64">
        <v>-65223.3</v>
      </c>
      <c r="G344" s="64"/>
      <c r="H344" s="63">
        <f>SUM(E344:G344)</f>
        <v>-65223.3</v>
      </c>
    </row>
    <row r="345" spans="1:8" ht="12.75" customHeight="1">
      <c r="A345" s="26" t="s">
        <v>165</v>
      </c>
      <c r="B345" s="62"/>
      <c r="C345" s="64">
        <v>129576.4</v>
      </c>
      <c r="D345" s="64">
        <v>59019.8</v>
      </c>
      <c r="E345" s="63">
        <f>SUM(B345:D345)</f>
        <v>188596.2</v>
      </c>
      <c r="F345" s="64">
        <v>7000</v>
      </c>
      <c r="G345" s="64"/>
      <c r="H345" s="63">
        <f>SUM(E345:G345)</f>
        <v>195596.2</v>
      </c>
    </row>
    <row r="346" spans="1:8" ht="12.75" customHeight="1" thickBot="1">
      <c r="A346" s="27" t="s">
        <v>168</v>
      </c>
      <c r="B346" s="65"/>
      <c r="C346" s="65">
        <v>400</v>
      </c>
      <c r="D346" s="65"/>
      <c r="E346" s="66">
        <f>SUM(B346:D346)</f>
        <v>400</v>
      </c>
      <c r="F346" s="65"/>
      <c r="G346" s="65"/>
      <c r="H346" s="66">
        <f>SUM(E346:G346)</f>
        <v>400</v>
      </c>
    </row>
    <row r="347" spans="1:5" ht="15" customHeight="1">
      <c r="A347" s="15"/>
      <c r="B347" s="22"/>
      <c r="C347" s="21"/>
      <c r="D347" s="21"/>
      <c r="E347" s="22"/>
    </row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spans="1:2" ht="12.75" customHeight="1">
      <c r="A357" s="14"/>
      <c r="B357" s="24"/>
    </row>
    <row r="358" ht="12.75" customHeight="1"/>
    <row r="359" spans="1:2" ht="12.75" customHeight="1">
      <c r="A359" s="14"/>
      <c r="B359" s="24"/>
    </row>
    <row r="360" ht="12.75" customHeight="1"/>
    <row r="361" ht="12.75" customHeight="1">
      <c r="A361" s="23"/>
    </row>
    <row r="362" ht="12.75" customHeight="1">
      <c r="A362" s="23"/>
    </row>
    <row r="363" ht="12.75" customHeight="1">
      <c r="A363" s="23"/>
    </row>
    <row r="364" ht="12.75" customHeight="1">
      <c r="A364" s="23"/>
    </row>
    <row r="365" ht="15" customHeight="1">
      <c r="A365" s="23"/>
    </row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</sheetData>
  <mergeCells count="5">
    <mergeCell ref="A7:A8"/>
    <mergeCell ref="A2:H2"/>
    <mergeCell ref="A3:H3"/>
    <mergeCell ref="A4:H4"/>
    <mergeCell ref="A5:H5"/>
  </mergeCells>
  <printOptions horizontalCentered="1"/>
  <pageMargins left="0.1968503937007874" right="0.1968503937007874" top="0.984251968503937" bottom="0.5905511811023623" header="0.5118110236220472" footer="0.3937007874015748"/>
  <pageSetup horizontalDpi="600" verticalDpi="600" orientation="portrait" paperSize="9" scale="97" r:id="rId1"/>
  <headerFooter alignWithMargins="0">
    <oddHeader>&amp;RPříloha č. 1</oddHeader>
    <oddFooter>&amp;CStránka &amp;P</oddFooter>
  </headerFooter>
  <rowBreaks count="5" manualBreakCount="5">
    <brk id="61" max="255" man="1"/>
    <brk id="111" max="255" man="1"/>
    <brk id="176" max="255" man="1"/>
    <brk id="248" max="255" man="1"/>
    <brk id="3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Kopřivová Věra</cp:lastModifiedBy>
  <cp:lastPrinted>2007-05-25T11:04:04Z</cp:lastPrinted>
  <dcterms:created xsi:type="dcterms:W3CDTF">1997-01-24T11:07:25Z</dcterms:created>
  <dcterms:modified xsi:type="dcterms:W3CDTF">2007-05-25T11:04:10Z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-1560385859</vt:i4>
  </property>
  <property fmtid="{D5CDD505-2E9C-101B-9397-08002B2CF9AE}" pid="3" name="_EmailSubject">
    <vt:lpwstr>2.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-1027124104</vt:i4>
  </property>
</Properties>
</file>